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pavi\Documents\Bitrix24\КОМПЬЮТЕР\Автоматизация продаж\Подбор Узлов учета\Подбор расходомера ПРЭМ для ЖКХ\"/>
    </mc:Choice>
  </mc:AlternateContent>
  <xr:revisionPtr revIDLastSave="0" documentId="13_ncr:1_{8614CD3D-4F6D-4B95-9DC2-CCD049C06E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чет(4тр)" sheetId="1" r:id="rId1"/>
    <sheet name="Описание" sheetId="2" r:id="rId2"/>
  </sheets>
  <definedNames>
    <definedName name="BegParamKM">'Расчет(4тр)'!$W$24</definedName>
    <definedName name="Dy0KM">'Расчет(4тр)'!$X$24:$X$108</definedName>
    <definedName name="DyPRAM">'Расчет(4тр)'!$R$24:$T$43</definedName>
    <definedName name="ParamKM">'Расчет(4тр)'!$W$24:$AB$108</definedName>
    <definedName name="ParamKM2">'Расчет(4тр)'!$X$24:$AC$108</definedName>
    <definedName name="TypePRAM">'Расчет(4тр)'!$R$24:$R$43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1" l="1"/>
  <c r="N37" i="1"/>
  <c r="O37" i="1"/>
  <c r="M38" i="1"/>
  <c r="N38" i="1"/>
  <c r="O38" i="1"/>
  <c r="L38" i="1"/>
  <c r="L37" i="1"/>
  <c r="Y104" i="1" l="1"/>
  <c r="Z104" i="1"/>
  <c r="Y105" i="1"/>
  <c r="Z105" i="1"/>
  <c r="Y106" i="1"/>
  <c r="Z106" i="1"/>
  <c r="Y107" i="1"/>
  <c r="Z107" i="1"/>
  <c r="Y108" i="1"/>
  <c r="Z108" i="1"/>
  <c r="Y99" i="1"/>
  <c r="Z99" i="1"/>
  <c r="Y100" i="1"/>
  <c r="Z100" i="1"/>
  <c r="Y101" i="1"/>
  <c r="Z101" i="1"/>
  <c r="Y102" i="1"/>
  <c r="Z102" i="1"/>
  <c r="Y103" i="1"/>
  <c r="Z103" i="1"/>
  <c r="Y94" i="1"/>
  <c r="Z94" i="1"/>
  <c r="Y95" i="1"/>
  <c r="Z95" i="1"/>
  <c r="Y96" i="1"/>
  <c r="Z96" i="1"/>
  <c r="Y97" i="1"/>
  <c r="Z97" i="1"/>
  <c r="Y98" i="1"/>
  <c r="Z98" i="1"/>
  <c r="Z93" i="1"/>
  <c r="Y93" i="1"/>
  <c r="Y89" i="1"/>
  <c r="Z89" i="1"/>
  <c r="Y90" i="1"/>
  <c r="Z90" i="1"/>
  <c r="Y91" i="1"/>
  <c r="Z91" i="1"/>
  <c r="Y92" i="1"/>
  <c r="Z92" i="1"/>
  <c r="Z86" i="1"/>
  <c r="Z87" i="1"/>
  <c r="Z88" i="1"/>
  <c r="Y86" i="1"/>
  <c r="Y87" i="1"/>
  <c r="Y88" i="1"/>
  <c r="Z78" i="1"/>
  <c r="Z79" i="1"/>
  <c r="Z80" i="1"/>
  <c r="Z81" i="1"/>
  <c r="Z82" i="1"/>
  <c r="Z83" i="1"/>
  <c r="Z84" i="1"/>
  <c r="Z85" i="1"/>
  <c r="Y78" i="1"/>
  <c r="Y79" i="1"/>
  <c r="Y80" i="1"/>
  <c r="Y81" i="1"/>
  <c r="Y82" i="1"/>
  <c r="Y83" i="1"/>
  <c r="Y84" i="1"/>
  <c r="Y85" i="1"/>
  <c r="Z70" i="1"/>
  <c r="Z71" i="1"/>
  <c r="Z72" i="1"/>
  <c r="Z73" i="1"/>
  <c r="Z74" i="1"/>
  <c r="Z75" i="1"/>
  <c r="Z76" i="1"/>
  <c r="Z77" i="1"/>
  <c r="Y70" i="1"/>
  <c r="Y71" i="1"/>
  <c r="Y72" i="1"/>
  <c r="Y73" i="1"/>
  <c r="Y74" i="1"/>
  <c r="Y75" i="1"/>
  <c r="Y76" i="1"/>
  <c r="Y77" i="1"/>
  <c r="Z64" i="1"/>
  <c r="Z65" i="1"/>
  <c r="Z66" i="1"/>
  <c r="Z67" i="1"/>
  <c r="Z68" i="1"/>
  <c r="Z69" i="1"/>
  <c r="Y64" i="1"/>
  <c r="Y65" i="1"/>
  <c r="Y66" i="1"/>
  <c r="Y67" i="1"/>
  <c r="Y68" i="1"/>
  <c r="Y69" i="1"/>
  <c r="Z58" i="1"/>
  <c r="Z59" i="1"/>
  <c r="Z60" i="1"/>
  <c r="Z61" i="1"/>
  <c r="Z62" i="1"/>
  <c r="Z63" i="1"/>
  <c r="Y58" i="1"/>
  <c r="Y59" i="1"/>
  <c r="Y60" i="1"/>
  <c r="Y61" i="1"/>
  <c r="Y62" i="1"/>
  <c r="Y63" i="1"/>
  <c r="Z51" i="1"/>
  <c r="Z52" i="1"/>
  <c r="Z53" i="1"/>
  <c r="Z54" i="1"/>
  <c r="Z55" i="1"/>
  <c r="Z56" i="1"/>
  <c r="Z57" i="1"/>
  <c r="Y51" i="1"/>
  <c r="Y52" i="1"/>
  <c r="Y53" i="1"/>
  <c r="Y54" i="1"/>
  <c r="Y55" i="1"/>
  <c r="Y56" i="1"/>
  <c r="Y57" i="1"/>
  <c r="Z45" i="1"/>
  <c r="Z46" i="1"/>
  <c r="Z47" i="1"/>
  <c r="Z48" i="1"/>
  <c r="Z49" i="1"/>
  <c r="Z50" i="1"/>
  <c r="Y45" i="1"/>
  <c r="Y46" i="1"/>
  <c r="Y47" i="1"/>
  <c r="Y48" i="1"/>
  <c r="Y49" i="1"/>
  <c r="Y50" i="1"/>
  <c r="Z39" i="1"/>
  <c r="Z40" i="1"/>
  <c r="Z41" i="1"/>
  <c r="Z42" i="1"/>
  <c r="Z43" i="1"/>
  <c r="Z4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24" i="1"/>
  <c r="Z34" i="1"/>
  <c r="E36" i="1"/>
  <c r="Z38" i="1"/>
  <c r="Z37" i="1"/>
  <c r="Z36" i="1"/>
  <c r="Z35" i="1"/>
  <c r="Z33" i="1"/>
  <c r="E39" i="1" s="1"/>
  <c r="Z32" i="1"/>
  <c r="Z31" i="1"/>
  <c r="Z30" i="1"/>
  <c r="Z29" i="1"/>
  <c r="Z28" i="1"/>
  <c r="Z27" i="1"/>
  <c r="Z26" i="1"/>
  <c r="Z25" i="1"/>
  <c r="Z24" i="1"/>
  <c r="F36" i="1"/>
  <c r="G36" i="1"/>
  <c r="H36" i="1"/>
  <c r="H38" i="1"/>
  <c r="H37" i="1"/>
  <c r="G38" i="1"/>
  <c r="G37" i="1"/>
  <c r="F38" i="1"/>
  <c r="F37" i="1"/>
  <c r="E38" i="1"/>
  <c r="E37" i="1"/>
  <c r="M25" i="1"/>
  <c r="M27" i="1" s="1"/>
  <c r="AJ34" i="1" s="1"/>
  <c r="M24" i="1"/>
  <c r="M26" i="1" s="1"/>
  <c r="P25" i="1"/>
  <c r="P27" i="1" s="1"/>
  <c r="P24" i="1"/>
  <c r="P26" i="1" s="1"/>
  <c r="O25" i="1"/>
  <c r="O27" i="1" s="1"/>
  <c r="O24" i="1"/>
  <c r="O26" i="1" s="1"/>
  <c r="N25" i="1"/>
  <c r="N27" i="1" s="1"/>
  <c r="N24" i="1"/>
  <c r="N26" i="1" s="1"/>
  <c r="H47" i="1"/>
  <c r="E47" i="1"/>
  <c r="F47" i="1"/>
  <c r="F39" i="1"/>
  <c r="G39" i="1"/>
  <c r="G47" i="1"/>
  <c r="H39" i="1"/>
  <c r="F40" i="1"/>
  <c r="G40" i="1"/>
  <c r="H40" i="1"/>
  <c r="AM34" i="1" l="1"/>
  <c r="G57" i="1"/>
  <c r="F57" i="1"/>
  <c r="H57" i="1"/>
  <c r="AL34" i="1"/>
  <c r="N34" i="1"/>
  <c r="N36" i="1" s="1"/>
  <c r="L34" i="1"/>
  <c r="L36" i="1" s="1"/>
  <c r="O34" i="1"/>
  <c r="O36" i="1" s="1"/>
  <c r="M34" i="1"/>
  <c r="M36" i="1" s="1"/>
  <c r="AK34" i="1"/>
  <c r="E40" i="1"/>
  <c r="AK39" i="1"/>
  <c r="AK28" i="1"/>
  <c r="AM40" i="1"/>
  <c r="AK36" i="1"/>
  <c r="AK49" i="1"/>
  <c r="AK38" i="1"/>
  <c r="AK44" i="1"/>
  <c r="AL24" i="1"/>
  <c r="AL50" i="1"/>
  <c r="AL33" i="1"/>
  <c r="AL41" i="1"/>
  <c r="AL37" i="1"/>
  <c r="AL28" i="1"/>
  <c r="AL53" i="1"/>
  <c r="AL47" i="1"/>
  <c r="AL40" i="1"/>
  <c r="AL49" i="1"/>
  <c r="AL36" i="1"/>
  <c r="AL52" i="1"/>
  <c r="AL42" i="1"/>
  <c r="AL31" i="1"/>
  <c r="AL32" i="1"/>
  <c r="AL25" i="1"/>
  <c r="AL57" i="1"/>
  <c r="AL35" i="1"/>
  <c r="AL29" i="1"/>
  <c r="AL44" i="1"/>
  <c r="AL46" i="1"/>
  <c r="AL30" i="1"/>
  <c r="AM52" i="1"/>
  <c r="AM54" i="1"/>
  <c r="AM53" i="1"/>
  <c r="AM39" i="1"/>
  <c r="AM56" i="1"/>
  <c r="AM49" i="1"/>
  <c r="AM51" i="1"/>
  <c r="AM36" i="1"/>
  <c r="AM28" i="1"/>
  <c r="AM24" i="1"/>
  <c r="AM50" i="1"/>
  <c r="AM37" i="1"/>
  <c r="AM55" i="1"/>
  <c r="AM41" i="1"/>
  <c r="AM45" i="1"/>
  <c r="AJ52" i="1"/>
  <c r="AJ31" i="1"/>
  <c r="AJ43" i="1"/>
  <c r="AJ25" i="1"/>
  <c r="AJ44" i="1"/>
  <c r="AJ50" i="1"/>
  <c r="AJ33" i="1"/>
  <c r="AJ42" i="1"/>
  <c r="AJ48" i="1"/>
  <c r="AJ39" i="1"/>
  <c r="AJ35" i="1"/>
  <c r="AJ37" i="1"/>
  <c r="AJ53" i="1"/>
  <c r="AJ47" i="1"/>
  <c r="AJ55" i="1"/>
  <c r="AJ32" i="1"/>
  <c r="AJ30" i="1"/>
  <c r="AJ26" i="1"/>
  <c r="AJ51" i="1"/>
  <c r="AJ46" i="1"/>
  <c r="AJ45" i="1"/>
  <c r="AJ24" i="1"/>
  <c r="AK45" i="1"/>
  <c r="AK40" i="1"/>
  <c r="AK24" i="1"/>
  <c r="AK41" i="1"/>
  <c r="AK35" i="1"/>
  <c r="AK43" i="1"/>
  <c r="AK29" i="1"/>
  <c r="AK42" i="1"/>
  <c r="AK32" i="1"/>
  <c r="AK26" i="1"/>
  <c r="AK30" i="1"/>
  <c r="AK55" i="1"/>
  <c r="AK51" i="1"/>
  <c r="AK27" i="1"/>
  <c r="AK47" i="1"/>
  <c r="AK33" i="1"/>
  <c r="AK31" i="1"/>
  <c r="AK52" i="1"/>
  <c r="AK50" i="1"/>
  <c r="AK46" i="1"/>
  <c r="AK25" i="1"/>
  <c r="AM25" i="1"/>
  <c r="AM48" i="1"/>
  <c r="AM35" i="1"/>
  <c r="AL43" i="1"/>
  <c r="AJ27" i="1"/>
  <c r="AM27" i="1"/>
  <c r="AJ29" i="1"/>
  <c r="AJ41" i="1"/>
  <c r="AK54" i="1"/>
  <c r="AL26" i="1"/>
  <c r="AM26" i="1"/>
  <c r="AK37" i="1"/>
  <c r="AJ56" i="1"/>
  <c r="AJ49" i="1"/>
  <c r="AJ36" i="1"/>
  <c r="AK53" i="1"/>
  <c r="AJ57" i="1"/>
  <c r="AL27" i="1"/>
  <c r="AK56" i="1"/>
  <c r="AL55" i="1"/>
  <c r="AM57" i="1"/>
  <c r="AM29" i="1"/>
  <c r="AM33" i="1"/>
  <c r="AM47" i="1"/>
  <c r="AM46" i="1"/>
  <c r="AL38" i="1"/>
  <c r="AJ54" i="1"/>
  <c r="AJ28" i="1"/>
  <c r="AM43" i="1"/>
  <c r="AM42" i="1"/>
  <c r="AM38" i="1"/>
  <c r="AL54" i="1"/>
  <c r="AL51" i="1"/>
  <c r="AL56" i="1"/>
  <c r="AL45" i="1"/>
  <c r="AL48" i="1"/>
  <c r="AK48" i="1"/>
  <c r="AJ38" i="1"/>
  <c r="AK57" i="1"/>
  <c r="AL39" i="1"/>
  <c r="AJ40" i="1"/>
  <c r="AM31" i="1"/>
  <c r="AM44" i="1"/>
  <c r="AM30" i="1"/>
  <c r="AM32" i="1"/>
  <c r="E57" i="1" l="1"/>
  <c r="AJ58" i="1"/>
  <c r="M28" i="1" s="1"/>
  <c r="M29" i="1" s="1"/>
  <c r="AK58" i="1"/>
  <c r="N28" i="1" s="1"/>
  <c r="N29" i="1" s="1"/>
  <c r="AL58" i="1"/>
  <c r="O28" i="1" s="1"/>
  <c r="AM58" i="1"/>
  <c r="P28" i="1" s="1"/>
  <c r="E42" i="1" l="1"/>
  <c r="E43" i="1" s="1"/>
  <c r="E46" i="1" s="1"/>
  <c r="F42" i="1"/>
  <c r="F43" i="1" s="1"/>
  <c r="F45" i="1" s="1"/>
  <c r="P29" i="1"/>
  <c r="H42" i="1"/>
  <c r="H43" i="1" s="1"/>
  <c r="G42" i="1"/>
  <c r="G43" i="1" s="1"/>
  <c r="O29" i="1"/>
  <c r="F44" i="1" l="1"/>
  <c r="F48" i="1" s="1"/>
  <c r="F54" i="1" s="1"/>
  <c r="F46" i="1"/>
  <c r="E45" i="1"/>
  <c r="E44" i="1"/>
  <c r="E48" i="1" s="1"/>
  <c r="E54" i="1" s="1"/>
  <c r="E55" i="1" s="1"/>
  <c r="G44" i="1"/>
  <c r="G48" i="1" s="1"/>
  <c r="G54" i="1" s="1"/>
  <c r="G46" i="1"/>
  <c r="G45" i="1"/>
  <c r="H44" i="1"/>
  <c r="H45" i="1"/>
  <c r="H46" i="1"/>
  <c r="F55" i="1" l="1"/>
  <c r="F51" i="1"/>
  <c r="F52" i="1" s="1"/>
  <c r="F58" i="1"/>
  <c r="F59" i="1" s="1"/>
  <c r="H48" i="1"/>
  <c r="H54" i="1" s="1"/>
  <c r="G55" i="1"/>
  <c r="G51" i="1"/>
  <c r="G52" i="1" s="1"/>
  <c r="G58" i="1"/>
  <c r="G59" i="1" s="1"/>
  <c r="E58" i="1"/>
  <c r="E59" i="1" s="1"/>
  <c r="E51" i="1"/>
  <c r="E52" i="1" l="1"/>
  <c r="E60" i="1" s="1"/>
  <c r="E61" i="1" s="1"/>
  <c r="F60" i="1"/>
  <c r="F61" i="1" s="1"/>
  <c r="H55" i="1"/>
  <c r="H51" i="1"/>
  <c r="H52" i="1" s="1"/>
  <c r="H58" i="1"/>
  <c r="H59" i="1" s="1"/>
  <c r="G60" i="1"/>
  <c r="G61" i="1" s="1"/>
  <c r="H60" i="1" l="1"/>
  <c r="H6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E30" authorId="0" shapeId="0" xr:uid="{00000000-0006-0000-0100-000001000000}">
      <text>
        <r>
          <rPr>
            <sz val="12"/>
            <color indexed="81"/>
            <rFont val="Arial"/>
            <family val="2"/>
            <charset val="204"/>
          </rPr>
          <t>Выбрать тип ПРЭМ из списка</t>
        </r>
      </text>
    </comment>
    <comment ref="E31" authorId="0" shapeId="0" xr:uid="{00000000-0006-0000-0100-000002000000}">
      <text>
        <r>
          <rPr>
            <sz val="12"/>
            <color indexed="81"/>
            <rFont val="Arial"/>
            <family val="2"/>
            <charset val="204"/>
          </rPr>
          <t>Выбрать тип перехода из списка.
При отсутствии перехода выбрать одинаковые цифры</t>
        </r>
      </text>
    </comment>
    <comment ref="E32" authorId="0" shapeId="0" xr:uid="{00000000-0006-0000-0100-000003000000}">
      <text>
        <r>
          <rPr>
            <sz val="12"/>
            <color indexed="81"/>
            <rFont val="Arial"/>
            <family val="2"/>
            <charset val="204"/>
          </rPr>
          <t>Выбрать тип перехода из списка.
При отсутствии перехода выбрать одинаковые цифры</t>
        </r>
      </text>
    </comment>
    <comment ref="E34" authorId="0" shapeId="0" xr:uid="{5C13F1DF-3DAB-4616-8DA5-98932D458440}">
      <text>
        <r>
          <rPr>
            <sz val="12"/>
            <color indexed="81"/>
            <rFont val="Arial"/>
            <family val="2"/>
            <charset val="204"/>
          </rPr>
          <t>Ввести длину прямого участка сужения, равную сумме длины ПРЭМ и длинн прямых участков ДО и ПОСЛЕ расходомера.
По умолчанию в списке предлагается стандартная рассчетная длина.</t>
        </r>
      </text>
    </comment>
  </commentList>
</comments>
</file>

<file path=xl/sharedStrings.xml><?xml version="1.0" encoding="utf-8"?>
<sst xmlns="http://schemas.openxmlformats.org/spreadsheetml/2006/main" count="309" uniqueCount="274">
  <si>
    <t>2 СНиП 2.04.07-86 ТЕПЛОВЫЕ СЕТИ</t>
  </si>
  <si>
    <t>Тип расходомера</t>
  </si>
  <si>
    <t>Обозн.</t>
  </si>
  <si>
    <t>Ед. изм.</t>
  </si>
  <si>
    <t>Тип</t>
  </si>
  <si>
    <t>Ду, мм</t>
  </si>
  <si>
    <t>Параметры воды</t>
  </si>
  <si>
    <t>G</t>
  </si>
  <si>
    <t>т/ч</t>
  </si>
  <si>
    <t>t</t>
  </si>
  <si>
    <t>100-150</t>
  </si>
  <si>
    <t>Рабочее давление</t>
  </si>
  <si>
    <t>P</t>
  </si>
  <si>
    <t>кгс/см2</t>
  </si>
  <si>
    <t>100-200</t>
  </si>
  <si>
    <t>Тип конфузора</t>
  </si>
  <si>
    <t>150-200</t>
  </si>
  <si>
    <t>Тип диффузора</t>
  </si>
  <si>
    <t>Экв.шероховатость труб</t>
  </si>
  <si>
    <t>D</t>
  </si>
  <si>
    <t>мм</t>
  </si>
  <si>
    <t>150-300</t>
  </si>
  <si>
    <t>Диаметр сужения</t>
  </si>
  <si>
    <t>20-20</t>
  </si>
  <si>
    <t>Ду труб-да перед конфузором</t>
  </si>
  <si>
    <t>20-32</t>
  </si>
  <si>
    <t>Ду труб-да после диффузора</t>
  </si>
  <si>
    <t>20-40</t>
  </si>
  <si>
    <t>Длина сужения</t>
  </si>
  <si>
    <t>20-50</t>
  </si>
  <si>
    <t>Угол раскрытия конфузора</t>
  </si>
  <si>
    <t>град</t>
  </si>
  <si>
    <t>32-40</t>
  </si>
  <si>
    <t>Угол раскрытия диффузора</t>
  </si>
  <si>
    <t>r</t>
  </si>
  <si>
    <t>кг/м3</t>
  </si>
  <si>
    <t>Объемный расход воды</t>
  </si>
  <si>
    <t>Q</t>
  </si>
  <si>
    <t>м3/ч</t>
  </si>
  <si>
    <t>Скорость в сужении D0</t>
  </si>
  <si>
    <t>V0</t>
  </si>
  <si>
    <t>м/с</t>
  </si>
  <si>
    <t>40-50</t>
  </si>
  <si>
    <t>Скорость перед конфузором D1</t>
  </si>
  <si>
    <t>V1</t>
  </si>
  <si>
    <t>Скорость после диффузора D2</t>
  </si>
  <si>
    <t>V2</t>
  </si>
  <si>
    <t>40-80</t>
  </si>
  <si>
    <t>Кинематическая вязкость воды</t>
  </si>
  <si>
    <t>n</t>
  </si>
  <si>
    <t>Число Рейнольдса в сужении</t>
  </si>
  <si>
    <t>Re</t>
  </si>
  <si>
    <t>80-100</t>
  </si>
  <si>
    <t>Расчет величины сопротивления</t>
  </si>
  <si>
    <t>80-125</t>
  </si>
  <si>
    <t>Конфузор</t>
  </si>
  <si>
    <t>80-150</t>
  </si>
  <si>
    <t>Коэф. сопротивл. трения</t>
  </si>
  <si>
    <t>Потеря напора на конфузоре</t>
  </si>
  <si>
    <t>м в. ст.</t>
  </si>
  <si>
    <t>80-80</t>
  </si>
  <si>
    <t>Измерительный участок</t>
  </si>
  <si>
    <t>l</t>
  </si>
  <si>
    <t>Диффузор</t>
  </si>
  <si>
    <t>Потери напора на диффузоре</t>
  </si>
  <si>
    <t>Суммарная потеря напора</t>
  </si>
  <si>
    <t>м.в.ст.</t>
  </si>
  <si>
    <t>ПРЭМ-20</t>
  </si>
  <si>
    <t>ПРЭМ-32</t>
  </si>
  <si>
    <t>ПРЭМ-40</t>
  </si>
  <si>
    <t>ПРЭМ-50</t>
  </si>
  <si>
    <t>ПРЭМ-65</t>
  </si>
  <si>
    <t>ПРЭМ-80</t>
  </si>
  <si>
    <t>ПРЭМ-100</t>
  </si>
  <si>
    <t>ПРЭМ-150</t>
  </si>
  <si>
    <t>D0</t>
  </si>
  <si>
    <t>D1</t>
  </si>
  <si>
    <t>D2</t>
  </si>
  <si>
    <t>Исходные данные</t>
  </si>
  <si>
    <t>Литература:</t>
  </si>
  <si>
    <t>Расчетные данные</t>
  </si>
  <si>
    <t>1. Идельчик И. Е. Справочник по гидравлическим сопротивлениям/Под ред. М.О. Штейнберга.
 - 3-е изд., перераб. и доп. - М.: Машиностроение, 1992.- 672 с: ил.</t>
  </si>
  <si>
    <t>L0</t>
  </si>
  <si>
    <t>Коэф.сопр. расширения</t>
  </si>
  <si>
    <t>Массовый расход</t>
  </si>
  <si>
    <t>Температура</t>
  </si>
  <si>
    <t xml:space="preserve">   Расчет гидравлических потерь напора на узлах установки расходомеров ПРЭМ</t>
  </si>
  <si>
    <t>Потери напора на прямом участке</t>
  </si>
  <si>
    <t>Коэф. гидравл. трения</t>
  </si>
  <si>
    <t>Особенности расчета:</t>
  </si>
  <si>
    <t xml:space="preserve">– Расчет выполняется для области квадратичного закона при </t>
  </si>
  <si>
    <t xml:space="preserve">(1)                      </t>
  </si>
  <si>
    <t>Потери на прямолинейном участке</t>
  </si>
  <si>
    <t>Потери напора на прямолинейном участке рассчитываются по формуле Дарси-Вейсбаха:</t>
  </si>
  <si>
    <t xml:space="preserve">(2)                      </t>
  </si>
  <si>
    <t xml:space="preserve">        L0 – длина прямого участка (сумма длин участков до/после ПРЭМ и длины ПРЭМ);</t>
  </si>
  <si>
    <t xml:space="preserve">        D0 – диаметры трубопроводов прямолинейного участка и ПРЭМ;</t>
  </si>
  <si>
    <t xml:space="preserve">        V0 – скорость потока на прямолинейном участке;</t>
  </si>
  <si>
    <t xml:space="preserve">        g – ускорение свободного падения.</t>
  </si>
  <si>
    <t xml:space="preserve">(3)                      </t>
  </si>
  <si>
    <t>Потери на сужении (конфузоре)</t>
  </si>
  <si>
    <t>Потери напора на конфузоре рассчитываются по формуле:</t>
  </si>
  <si>
    <t xml:space="preserve">(4)                      </t>
  </si>
  <si>
    <t>Для конфузора с криволинейными образующими двоякой кривизны (стандартные переходы) коэффициент сопротивления зависит только от коэффициента трения ([1], Диаграмма 5-23) и рассчитывается по формуле:</t>
  </si>
  <si>
    <t xml:space="preserve">(5)                      </t>
  </si>
  <si>
    <t>Потери на расширении (диффузоре)</t>
  </si>
  <si>
    <t>Потери напора на диффузоре рассчитываются по формуле:</t>
  </si>
  <si>
    <t xml:space="preserve">(6)                      </t>
  </si>
  <si>
    <t>Коэффициент сопротивления диффузора:</t>
  </si>
  <si>
    <t xml:space="preserve">(7)                      </t>
  </si>
  <si>
    <t>Коэффициент сопротивления трения определяется по формуле:</t>
  </si>
  <si>
    <t xml:space="preserve">(8)                      </t>
  </si>
  <si>
    <t>Коэффициент сопротивления расширения выражается через коэффициент полноты удара:</t>
  </si>
  <si>
    <t>где: nn2=S2/S0 = (D2/D0)2 – степень расширения диффузора (отношение площадей);</t>
  </si>
  <si>
    <t xml:space="preserve">(9)                      </t>
  </si>
  <si>
    <t>где:                                                      – коэффициент полноты удара</t>
  </si>
  <si>
    <t xml:space="preserve">          kд – коэффициент неравномерности скоростей на входе в диффузор.</t>
  </si>
  <si>
    <t>– При расчете используются параметры стандартных концентрических переходов по ГОСТ 17378-2001, имеющих криволинейные образующие двоякой кривизны.</t>
  </si>
  <si>
    <t>Плотность воды</t>
  </si>
  <si>
    <t>Коэф.сопротивления трения</t>
  </si>
  <si>
    <t>Трубопровод 1</t>
  </si>
  <si>
    <t>Трубопровод 2</t>
  </si>
  <si>
    <t>Трубопровод 3</t>
  </si>
  <si>
    <t>Трубопровод 4</t>
  </si>
  <si>
    <t>Параметры трубопроводов</t>
  </si>
  <si>
    <t>Параметры КМ</t>
  </si>
  <si>
    <t>ДУ</t>
  </si>
  <si>
    <t>Lпр.уч</t>
  </si>
  <si>
    <t>a</t>
  </si>
  <si>
    <t>ДУ до и после</t>
  </si>
  <si>
    <t>i</t>
  </si>
  <si>
    <t>Ii</t>
  </si>
  <si>
    <t>Ji</t>
  </si>
  <si>
    <t>ni</t>
  </si>
  <si>
    <r>
      <t>g</t>
    </r>
    <r>
      <rPr>
        <vertAlign val="subscript"/>
        <sz val="12"/>
        <rFont val="Symbol"/>
        <family val="1"/>
        <charset val="2"/>
      </rPr>
      <t>p</t>
    </r>
  </si>
  <si>
    <t>R</t>
  </si>
  <si>
    <t>t=</t>
  </si>
  <si>
    <t>p=</t>
  </si>
  <si>
    <t>Р, МПа</t>
  </si>
  <si>
    <t>град К</t>
  </si>
  <si>
    <t>m3/kg</t>
  </si>
  <si>
    <t>Тр-д 1</t>
  </si>
  <si>
    <t>Тр-д 2</t>
  </si>
  <si>
    <t>Тр-д 3</t>
  </si>
  <si>
    <t>Тр-д 4</t>
  </si>
  <si>
    <t>Расчетные параметры потока</t>
  </si>
  <si>
    <t>DyPRAM</t>
  </si>
  <si>
    <t>2(1)</t>
  </si>
  <si>
    <t>3(2)</t>
  </si>
  <si>
    <t>4(3)</t>
  </si>
  <si>
    <t>5(4)</t>
  </si>
  <si>
    <t>6(5)</t>
  </si>
  <si>
    <t>(сэндвич)</t>
  </si>
  <si>
    <t>(фланцевый)</t>
  </si>
  <si>
    <t>Длина, мм</t>
  </si>
  <si>
    <t>Справочные данные</t>
  </si>
  <si>
    <t>-</t>
  </si>
  <si>
    <r>
      <t>°</t>
    </r>
    <r>
      <rPr>
        <sz val="12"/>
        <color indexed="63"/>
        <rFont val="Arial"/>
        <family val="2"/>
        <charset val="204"/>
      </rPr>
      <t>С</t>
    </r>
  </si>
  <si>
    <r>
      <t>x</t>
    </r>
    <r>
      <rPr>
        <vertAlign val="subscript"/>
        <sz val="12"/>
        <color indexed="63"/>
        <rFont val="Arial Cyr"/>
        <family val="2"/>
        <charset val="204"/>
      </rPr>
      <t>расш</t>
    </r>
  </si>
  <si>
    <r>
      <t>x</t>
    </r>
    <r>
      <rPr>
        <vertAlign val="subscript"/>
        <sz val="12"/>
        <color indexed="63"/>
        <rFont val="Arial Cyr"/>
        <family val="2"/>
        <charset val="204"/>
      </rPr>
      <t>тр</t>
    </r>
  </si>
  <si>
    <r>
      <t>h</t>
    </r>
    <r>
      <rPr>
        <vertAlign val="subscript"/>
        <sz val="12"/>
        <color indexed="63"/>
        <rFont val="Arial Cyr"/>
        <charset val="204"/>
      </rPr>
      <t>д</t>
    </r>
  </si>
  <si>
    <r>
      <t>h</t>
    </r>
    <r>
      <rPr>
        <vertAlign val="subscript"/>
        <sz val="12"/>
        <color indexed="63"/>
        <rFont val="Arial"/>
        <family val="2"/>
        <charset val="204"/>
      </rPr>
      <t>l</t>
    </r>
  </si>
  <si>
    <r>
      <t>h</t>
    </r>
    <r>
      <rPr>
        <vertAlign val="subscript"/>
        <sz val="12"/>
        <color indexed="63"/>
        <rFont val="Arial Cyr"/>
        <family val="2"/>
        <charset val="204"/>
      </rPr>
      <t>k</t>
    </r>
  </si>
  <si>
    <r>
      <t>a</t>
    </r>
    <r>
      <rPr>
        <sz val="12"/>
        <color indexed="63"/>
        <rFont val="Arial"/>
        <family val="2"/>
        <charset val="204"/>
      </rPr>
      <t>1</t>
    </r>
  </si>
  <si>
    <r>
      <t>a</t>
    </r>
    <r>
      <rPr>
        <sz val="12"/>
        <color indexed="63"/>
        <rFont val="Arial"/>
        <family val="2"/>
        <charset val="204"/>
      </rPr>
      <t>2</t>
    </r>
  </si>
  <si>
    <r>
      <t>м</t>
    </r>
    <r>
      <rPr>
        <vertAlign val="superscript"/>
        <sz val="12"/>
        <color indexed="63"/>
        <rFont val="Arial"/>
        <family val="2"/>
        <charset val="204"/>
      </rPr>
      <t>2</t>
    </r>
    <r>
      <rPr>
        <sz val="12"/>
        <color indexed="63"/>
        <rFont val="Arial"/>
        <family val="2"/>
        <charset val="204"/>
      </rPr>
      <t>/с</t>
    </r>
  </si>
  <si>
    <r>
      <t>Суммарные потери напора (</t>
    </r>
    <r>
      <rPr>
        <sz val="10"/>
        <color indexed="63"/>
        <rFont val="Symbol"/>
        <family val="1"/>
        <charset val="2"/>
      </rPr>
      <t>D</t>
    </r>
    <r>
      <rPr>
        <sz val="10"/>
        <color indexed="63"/>
        <rFont val="Arial"/>
        <family val="2"/>
        <charset val="204"/>
      </rPr>
      <t>hсум), возникающие в системе при использовании ПРЭМ с условным диаметром (Ду) меньшим чем диаметр трубопроводов (Ду1, Ду2), складываются из потерь на переходах (</t>
    </r>
    <r>
      <rPr>
        <sz val="10"/>
        <color indexed="63"/>
        <rFont val="Symbol"/>
        <family val="1"/>
        <charset val="2"/>
      </rPr>
      <t>D</t>
    </r>
    <r>
      <rPr>
        <sz val="10"/>
        <color indexed="63"/>
        <rFont val="Arial"/>
        <family val="2"/>
        <charset val="204"/>
      </rPr>
      <t xml:space="preserve">hк – потери на сужении (конфузоре), </t>
    </r>
    <r>
      <rPr>
        <sz val="10"/>
        <color indexed="63"/>
        <rFont val="Symbol"/>
        <family val="1"/>
        <charset val="2"/>
      </rPr>
      <t>D</t>
    </r>
    <r>
      <rPr>
        <sz val="10"/>
        <color indexed="63"/>
        <rFont val="Arial"/>
        <family val="2"/>
        <charset val="204"/>
      </rPr>
      <t>hд – потери на расширении (диффузоре)) вследствие сужения/расширения сечения трубопроводов и потерь на прямых участках и непосредственно ПРЭМ (</t>
    </r>
    <r>
      <rPr>
        <sz val="10"/>
        <color indexed="63"/>
        <rFont val="Symbol"/>
        <family val="1"/>
        <charset val="2"/>
      </rPr>
      <t>D</t>
    </r>
    <r>
      <rPr>
        <sz val="10"/>
        <color indexed="63"/>
        <rFont val="Arial"/>
        <family val="2"/>
        <charset val="204"/>
      </rPr>
      <t>hпр), вследствие увеличения скорости движения потока.</t>
    </r>
  </si>
  <si>
    <r>
      <t xml:space="preserve">где: </t>
    </r>
    <r>
      <rPr>
        <sz val="9"/>
        <color indexed="63"/>
        <rFont val="Symbol"/>
        <family val="1"/>
        <charset val="2"/>
      </rPr>
      <t>l</t>
    </r>
    <r>
      <rPr>
        <sz val="9"/>
        <color indexed="63"/>
        <rFont val="Arial"/>
        <family val="2"/>
        <charset val="204"/>
      </rPr>
      <t xml:space="preserve"> – коэффициент сопротивления трения;</t>
    </r>
  </si>
  <si>
    <r>
      <t xml:space="preserve">Коэффициент сопротивления трения </t>
    </r>
    <r>
      <rPr>
        <sz val="9"/>
        <color indexed="63"/>
        <rFont val="Symbol"/>
        <family val="1"/>
        <charset val="2"/>
      </rPr>
      <t>l</t>
    </r>
    <r>
      <rPr>
        <sz val="9"/>
        <color indexed="63"/>
        <rFont val="Arial"/>
        <family val="2"/>
        <charset val="204"/>
      </rPr>
      <t xml:space="preserve"> для области квадратичного закона согласно СНиП 2.04.07-86 определяется по формуле:</t>
    </r>
  </si>
  <si>
    <r>
      <t xml:space="preserve">где: </t>
    </r>
    <r>
      <rPr>
        <sz val="9"/>
        <color indexed="63"/>
        <rFont val="Symbol"/>
        <family val="1"/>
        <charset val="2"/>
      </rPr>
      <t>D</t>
    </r>
    <r>
      <rPr>
        <sz val="9"/>
        <color indexed="63"/>
        <rFont val="Arial"/>
        <family val="2"/>
        <charset val="204"/>
      </rPr>
      <t xml:space="preserve"> – эквивалентная шероховатость труб.</t>
    </r>
  </si>
  <si>
    <r>
      <t xml:space="preserve">где: </t>
    </r>
    <r>
      <rPr>
        <sz val="10"/>
        <color indexed="63"/>
        <rFont val="Symbol"/>
        <family val="1"/>
        <charset val="2"/>
      </rPr>
      <t>z</t>
    </r>
    <r>
      <rPr>
        <sz val="10"/>
        <color indexed="63"/>
        <rFont val="Arial"/>
        <family val="2"/>
        <charset val="204"/>
      </rPr>
      <t>к – коэффициент сопротивления конфузора.</t>
    </r>
  </si>
  <si>
    <r>
      <t>где: n</t>
    </r>
    <r>
      <rPr>
        <vertAlign val="subscript"/>
        <sz val="10"/>
        <color indexed="63"/>
        <rFont val="Arial"/>
        <family val="2"/>
        <charset val="204"/>
      </rPr>
      <t>n1</t>
    </r>
    <r>
      <rPr>
        <sz val="10"/>
        <color indexed="63"/>
        <rFont val="Arial"/>
        <family val="2"/>
        <charset val="204"/>
      </rPr>
      <t>=S1/S0 = (D1/D0)</t>
    </r>
    <r>
      <rPr>
        <vertAlign val="superscript"/>
        <sz val="10"/>
        <color indexed="63"/>
        <rFont val="Arial"/>
        <family val="2"/>
        <charset val="204"/>
      </rPr>
      <t>2</t>
    </r>
    <r>
      <rPr>
        <sz val="10"/>
        <color indexed="63"/>
        <rFont val="Arial"/>
        <family val="2"/>
        <charset val="204"/>
      </rPr>
      <t xml:space="preserve"> – степень расширения конфузора (отношение площадей);</t>
    </r>
  </si>
  <si>
    <r>
      <t xml:space="preserve">        a</t>
    </r>
    <r>
      <rPr>
        <sz val="10"/>
        <color indexed="63"/>
        <rFont val="Arial Cyr"/>
        <charset val="204"/>
      </rPr>
      <t>1 – угол раскрытия конфузора;</t>
    </r>
  </si>
  <si>
    <r>
      <t xml:space="preserve">где: </t>
    </r>
    <r>
      <rPr>
        <sz val="9"/>
        <color indexed="63"/>
        <rFont val="Symbol"/>
        <family val="1"/>
        <charset val="2"/>
      </rPr>
      <t>z</t>
    </r>
    <r>
      <rPr>
        <sz val="9"/>
        <color indexed="63"/>
        <rFont val="Arial"/>
        <family val="2"/>
        <charset val="204"/>
      </rPr>
      <t>д – коэффициент сопротивления диффузора.</t>
    </r>
  </si>
  <si>
    <r>
      <t xml:space="preserve">где: </t>
    </r>
    <r>
      <rPr>
        <sz val="9"/>
        <color indexed="63"/>
        <rFont val="Symbol"/>
        <family val="1"/>
        <charset val="2"/>
      </rPr>
      <t>z</t>
    </r>
    <r>
      <rPr>
        <sz val="9"/>
        <color indexed="63"/>
        <rFont val="Arial"/>
        <family val="2"/>
        <charset val="204"/>
      </rPr>
      <t>тр – коэффициент сопротивления трения</t>
    </r>
  </si>
  <si>
    <r>
      <t xml:space="preserve">        z</t>
    </r>
    <r>
      <rPr>
        <sz val="9"/>
        <color indexed="63"/>
        <rFont val="Arial"/>
        <family val="2"/>
        <charset val="204"/>
      </rPr>
      <t>расш – коэффициент сопротивления расширения.</t>
    </r>
  </si>
  <si>
    <r>
      <t xml:space="preserve">         a</t>
    </r>
    <r>
      <rPr>
        <sz val="9"/>
        <color indexed="63"/>
        <rFont val="Arial"/>
        <family val="2"/>
        <charset val="204"/>
      </rPr>
      <t>2 – угол раскрытия диффузора.</t>
    </r>
  </si>
  <si>
    <t>ПРЭМ-200</t>
  </si>
  <si>
    <t>ПРЭМ-250</t>
  </si>
  <si>
    <t>ПРЭМ-300</t>
  </si>
  <si>
    <t>ПРЭМ-15</t>
  </si>
  <si>
    <t>ПРЭМ-25</t>
  </si>
  <si>
    <t>ПРЭМ-20-Сэндвич</t>
  </si>
  <si>
    <t>ПРЭМ-20-Фланец</t>
  </si>
  <si>
    <t>ПРЭМ-25-Фланец</t>
  </si>
  <si>
    <t>ПРЭМ-32-Сэндвич</t>
  </si>
  <si>
    <t>ПРЭМ-32-Фланец</t>
  </si>
  <si>
    <t>ПРЭМ-40-Сэндвич</t>
  </si>
  <si>
    <t>ПРЭМ-40-Фланец</t>
  </si>
  <si>
    <t>ПРЭМ-50-Сэндвич</t>
  </si>
  <si>
    <t>ПРЭМ-50-Фланец</t>
  </si>
  <si>
    <t>ПРЭМ-65-Сэндвич</t>
  </si>
  <si>
    <t>ПРЭМ-65-Фланец</t>
  </si>
  <si>
    <t>ПРЭМ-80-Сэндвич</t>
  </si>
  <si>
    <t>ПРЭМ-80-Фланец</t>
  </si>
  <si>
    <t>ПРЭМ-100-Сэндвич</t>
  </si>
  <si>
    <t>ПРЭМ-100-Фланец</t>
  </si>
  <si>
    <t>ПРЭМ-150-Фланец</t>
  </si>
  <si>
    <t>ПРЭМ-200-Фланец</t>
  </si>
  <si>
    <t>ПРЭМ-250-Фланец</t>
  </si>
  <si>
    <t>ПРЭМ-300-Фланец</t>
  </si>
  <si>
    <t>15-15</t>
  </si>
  <si>
    <t>15-20</t>
  </si>
  <si>
    <t>15-25</t>
  </si>
  <si>
    <t>15-32</t>
  </si>
  <si>
    <t>15-40</t>
  </si>
  <si>
    <t>15-50</t>
  </si>
  <si>
    <t>15-65</t>
  </si>
  <si>
    <t>Длина конф/диф</t>
  </si>
  <si>
    <t>20-25</t>
  </si>
  <si>
    <t>20-80</t>
  </si>
  <si>
    <t>25-25</t>
  </si>
  <si>
    <t>20-65</t>
  </si>
  <si>
    <t>25-32</t>
  </si>
  <si>
    <t>25-40</t>
  </si>
  <si>
    <t>25-50</t>
  </si>
  <si>
    <t>25-65</t>
  </si>
  <si>
    <t>25-80</t>
  </si>
  <si>
    <t>25-100</t>
  </si>
  <si>
    <t>32-32</t>
  </si>
  <si>
    <t>32-50</t>
  </si>
  <si>
    <t>32-65</t>
  </si>
  <si>
    <t>32-80</t>
  </si>
  <si>
    <t>32-100</t>
  </si>
  <si>
    <t>40-40</t>
  </si>
  <si>
    <t>40-65</t>
  </si>
  <si>
    <t>40-100</t>
  </si>
  <si>
    <t>40-125</t>
  </si>
  <si>
    <t>40-150</t>
  </si>
  <si>
    <t>50-50</t>
  </si>
  <si>
    <t>50-65</t>
  </si>
  <si>
    <t>50-80</t>
  </si>
  <si>
    <t>50-100</t>
  </si>
  <si>
    <t>50-125</t>
  </si>
  <si>
    <t>50-150</t>
  </si>
  <si>
    <t>65-65</t>
  </si>
  <si>
    <t>65-80</t>
  </si>
  <si>
    <t>65-100</t>
  </si>
  <si>
    <t>65-125</t>
  </si>
  <si>
    <t>65-150</t>
  </si>
  <si>
    <t>65-200</t>
  </si>
  <si>
    <t>80-200</t>
  </si>
  <si>
    <t>80-250</t>
  </si>
  <si>
    <t>80-300</t>
  </si>
  <si>
    <t>80-350</t>
  </si>
  <si>
    <t>100-100</t>
  </si>
  <si>
    <t>100-125</t>
  </si>
  <si>
    <t>100-250</t>
  </si>
  <si>
    <t>100-300</t>
  </si>
  <si>
    <t>100-350</t>
  </si>
  <si>
    <t>100-400</t>
  </si>
  <si>
    <t>150-150</t>
  </si>
  <si>
    <t>150-350</t>
  </si>
  <si>
    <t>150-400</t>
  </si>
  <si>
    <t>150-500</t>
  </si>
  <si>
    <t>150-250</t>
  </si>
  <si>
    <t>200-250</t>
  </si>
  <si>
    <t>200-300</t>
  </si>
  <si>
    <t>200-350</t>
  </si>
  <si>
    <t>200-400</t>
  </si>
  <si>
    <t>200-500</t>
  </si>
  <si>
    <t>200-200</t>
  </si>
  <si>
    <t>250-250</t>
  </si>
  <si>
    <t>250-300</t>
  </si>
  <si>
    <t>250-350</t>
  </si>
  <si>
    <t>250-400</t>
  </si>
  <si>
    <t>250-500</t>
  </si>
  <si>
    <t>300-300</t>
  </si>
  <si>
    <t>300-350</t>
  </si>
  <si>
    <t>300-400</t>
  </si>
  <si>
    <t>300-500</t>
  </si>
  <si>
    <t>300-600</t>
  </si>
  <si>
    <t>Условное форматирование</t>
  </si>
  <si>
    <t>ПРЭМ-15-Фланец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</si>
</sst>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General_)"/>
    <numFmt numFmtId="165" formatCode="0.0000"/>
    <numFmt numFmtId="166" formatCode="0.000"/>
    <numFmt numFmtId="167" formatCode="0.00000"/>
    <numFmt numFmtId="168" formatCode="0.00E+00_)"/>
    <numFmt numFmtId="169" formatCode="0.0000000"/>
    <numFmt numFmtId="170" formatCode="0.000000"/>
    <numFmt numFmtId="171" formatCode="0.0"/>
    <numFmt numFmtId="172" formatCode="0.000E+00"/>
    <numFmt numFmtId="173" formatCode="0.0000000000000000E+00"/>
    <numFmt numFmtId="174" formatCode="0.0000000000E+00"/>
  </numFmts>
  <fonts count="71" x14ac:knownFonts="1">
    <font>
      <sz val="10"/>
      <name val="Arial Cyr"/>
      <charset val="204"/>
    </font>
    <font>
      <sz val="10"/>
      <name val="Arial Cyr"/>
      <charset val="204"/>
    </font>
    <font>
      <i/>
      <sz val="10"/>
      <name val="Arial"/>
      <family val="2"/>
    </font>
    <font>
      <sz val="12"/>
      <name val="Arial"/>
      <family val="2"/>
      <charset val="204"/>
    </font>
    <font>
      <b/>
      <sz val="12"/>
      <color indexed="10"/>
      <name val="Arial Cyr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b/>
      <sz val="10"/>
      <color indexed="10"/>
      <name val="Arial Cyr"/>
      <charset val="204"/>
    </font>
    <font>
      <b/>
      <sz val="10"/>
      <color indexed="12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color indexed="13"/>
      <name val="Arial"/>
      <family val="2"/>
      <charset val="204"/>
    </font>
    <font>
      <sz val="8"/>
      <name val="Arial Cyr"/>
      <charset val="204"/>
    </font>
    <font>
      <b/>
      <sz val="12"/>
      <color indexed="12"/>
      <name val="Arial"/>
      <family val="2"/>
      <charset val="204"/>
    </font>
    <font>
      <b/>
      <sz val="12"/>
      <color indexed="10"/>
      <name val="Arial"/>
      <family val="2"/>
      <charset val="204"/>
    </font>
    <font>
      <sz val="12"/>
      <color indexed="81"/>
      <name val="Arial"/>
      <family val="2"/>
      <charset val="204"/>
    </font>
    <font>
      <b/>
      <i/>
      <sz val="12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b/>
      <i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sz val="12"/>
      <name val="Arial Cyr"/>
      <charset val="204"/>
    </font>
    <font>
      <i/>
      <sz val="16"/>
      <name val="Arial"/>
      <family val="2"/>
    </font>
    <font>
      <sz val="16"/>
      <name val="Arial Cyr"/>
      <charset val="204"/>
    </font>
    <font>
      <i/>
      <sz val="12"/>
      <name val="Arial"/>
      <family val="2"/>
    </font>
    <font>
      <b/>
      <sz val="10"/>
      <color indexed="10"/>
      <name val="Arial"/>
      <family val="2"/>
      <charset val="204"/>
    </font>
    <font>
      <sz val="10"/>
      <name val="Arial Cyr"/>
      <charset val="204"/>
    </font>
    <font>
      <sz val="9"/>
      <name val="Arial"/>
      <family val="2"/>
      <charset val="204"/>
    </font>
    <font>
      <sz val="9"/>
      <name val="Symbol"/>
      <family val="1"/>
      <charset val="2"/>
    </font>
    <font>
      <sz val="10"/>
      <name val="Symbol"/>
      <family val="1"/>
      <charset val="2"/>
    </font>
    <font>
      <sz val="10"/>
      <color indexed="10"/>
      <name val="Arial"/>
      <family val="2"/>
      <charset val="204"/>
    </font>
    <font>
      <sz val="10"/>
      <name val="Arial"/>
      <family val="2"/>
      <charset val="204"/>
    </font>
    <font>
      <b/>
      <sz val="12"/>
      <color indexed="10"/>
      <name val="Symbol"/>
      <family val="1"/>
      <charset val="2"/>
    </font>
    <font>
      <vertAlign val="subscript"/>
      <sz val="12"/>
      <name val="Symbol"/>
      <family val="1"/>
      <charset val="2"/>
    </font>
    <font>
      <b/>
      <sz val="12"/>
      <name val="Arial Cyr"/>
      <charset val="204"/>
    </font>
    <font>
      <sz val="10"/>
      <color indexed="10"/>
      <name val="Arial"/>
      <family val="2"/>
      <charset val="204"/>
    </font>
    <font>
      <sz val="10"/>
      <color indexed="10"/>
      <name val="Arial Cyr"/>
      <charset val="204"/>
    </font>
    <font>
      <sz val="10"/>
      <name val="Arial Cyr"/>
      <family val="2"/>
      <charset val="204"/>
    </font>
    <font>
      <b/>
      <sz val="10"/>
      <name val="Arial"/>
      <family val="2"/>
      <charset val="204"/>
    </font>
    <font>
      <sz val="10"/>
      <color indexed="11"/>
      <name val="Arial"/>
      <family val="2"/>
      <charset val="204"/>
    </font>
    <font>
      <sz val="12"/>
      <color indexed="63"/>
      <name val="Arial"/>
      <family val="2"/>
      <charset val="204"/>
    </font>
    <font>
      <vertAlign val="subscript"/>
      <sz val="12"/>
      <color indexed="63"/>
      <name val="Arial Cyr"/>
      <family val="2"/>
      <charset val="204"/>
    </font>
    <font>
      <vertAlign val="subscript"/>
      <sz val="12"/>
      <color indexed="63"/>
      <name val="Arial"/>
      <family val="2"/>
      <charset val="204"/>
    </font>
    <font>
      <vertAlign val="subscript"/>
      <sz val="12"/>
      <color indexed="63"/>
      <name val="Arial Cyr"/>
      <charset val="204"/>
    </font>
    <font>
      <sz val="10"/>
      <color indexed="63"/>
      <name val="Arial"/>
      <family val="2"/>
      <charset val="204"/>
    </font>
    <font>
      <vertAlign val="superscript"/>
      <sz val="12"/>
      <color indexed="63"/>
      <name val="Arial"/>
      <family val="2"/>
      <charset val="204"/>
    </font>
    <font>
      <sz val="10"/>
      <color indexed="63"/>
      <name val="Arial Cyr"/>
      <charset val="204"/>
    </font>
    <font>
      <sz val="10"/>
      <color indexed="63"/>
      <name val="Symbol"/>
      <family val="1"/>
      <charset val="2"/>
    </font>
    <font>
      <sz val="9"/>
      <color indexed="63"/>
      <name val="Arial"/>
      <family val="2"/>
      <charset val="204"/>
    </font>
    <font>
      <sz val="9"/>
      <color indexed="63"/>
      <name val="Symbol"/>
      <family val="1"/>
      <charset val="2"/>
    </font>
    <font>
      <vertAlign val="subscript"/>
      <sz val="10"/>
      <color indexed="63"/>
      <name val="Arial"/>
      <family val="2"/>
      <charset val="204"/>
    </font>
    <font>
      <vertAlign val="superscript"/>
      <sz val="10"/>
      <color indexed="63"/>
      <name val="Arial"/>
      <family val="2"/>
      <charset val="204"/>
    </font>
    <font>
      <b/>
      <sz val="12"/>
      <color theme="1" tint="0.34998626667073579"/>
      <name val="Arial"/>
      <family val="2"/>
      <charset val="204"/>
    </font>
    <font>
      <sz val="12"/>
      <color theme="1" tint="0.34998626667073579"/>
      <name val="Arial"/>
      <family val="2"/>
      <charset val="204"/>
    </font>
    <font>
      <sz val="12"/>
      <color theme="1" tint="0.34998626667073579"/>
      <name val="Symbol"/>
      <family val="1"/>
      <charset val="2"/>
    </font>
    <font>
      <i/>
      <sz val="12"/>
      <color theme="1" tint="0.34998626667073579"/>
      <name val="Arial"/>
      <family val="2"/>
      <charset val="204"/>
    </font>
    <font>
      <b/>
      <sz val="12"/>
      <color theme="4" tint="-0.499984740745262"/>
      <name val="Arial"/>
      <family val="2"/>
      <charset val="204"/>
    </font>
    <font>
      <b/>
      <i/>
      <sz val="12"/>
      <color theme="1" tint="0.34998626667073579"/>
      <name val="Arial"/>
      <family val="2"/>
      <charset val="204"/>
    </font>
    <font>
      <i/>
      <sz val="12"/>
      <color theme="1" tint="0.34998626667073579"/>
      <name val="Arial Cyr"/>
      <charset val="204"/>
    </font>
    <font>
      <sz val="12"/>
      <color theme="1" tint="0.34998626667073579"/>
      <name val="Arial Cyr"/>
      <charset val="204"/>
    </font>
    <font>
      <sz val="12"/>
      <color rgb="FFC00000"/>
      <name val="Arial"/>
      <family val="2"/>
      <charset val="204"/>
    </font>
    <font>
      <b/>
      <sz val="12"/>
      <color theme="1" tint="0.34998626667073579"/>
      <name val="Arial Cyr"/>
      <charset val="204"/>
    </font>
    <font>
      <sz val="10"/>
      <color theme="1" tint="0.34998626667073579"/>
      <name val="Arial"/>
      <family val="2"/>
      <charset val="204"/>
    </font>
    <font>
      <sz val="10"/>
      <color theme="1" tint="0.34998626667073579"/>
      <name val="Arial Cyr"/>
      <charset val="204"/>
    </font>
    <font>
      <b/>
      <u/>
      <sz val="12"/>
      <color theme="1" tint="0.34998626667073579"/>
      <name val="Arial"/>
      <family val="2"/>
      <charset val="204"/>
    </font>
    <font>
      <b/>
      <i/>
      <u/>
      <sz val="12"/>
      <color theme="1" tint="0.34998626667073579"/>
      <name val="Arial"/>
      <family val="2"/>
      <charset val="204"/>
    </font>
    <font>
      <sz val="9"/>
      <color theme="1" tint="0.34998626667073579"/>
      <name val="Arial"/>
      <family val="2"/>
      <charset val="204"/>
    </font>
    <font>
      <sz val="10"/>
      <color theme="1" tint="0.34998626667073579"/>
      <name val="Symbol"/>
      <family val="1"/>
      <charset val="2"/>
    </font>
    <font>
      <sz val="9"/>
      <color theme="1" tint="0.34998626667073579"/>
      <name val="Symbol"/>
      <family val="1"/>
      <charset val="2"/>
    </font>
    <font>
      <b/>
      <sz val="14"/>
      <color theme="1" tint="0.34998626667073579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2"/>
      <color rgb="FF00206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0">
    <xf numFmtId="0" fontId="0" fillId="0" borderId="0" xfId="0"/>
    <xf numFmtId="0" fontId="0" fillId="0" borderId="0" xfId="0" applyProtection="1"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/>
      <protection hidden="1"/>
    </xf>
    <xf numFmtId="167" fontId="5" fillId="0" borderId="0" xfId="0" applyNumberFormat="1" applyFont="1" applyFill="1" applyBorder="1" applyAlignment="1" applyProtection="1">
      <alignment horizontal="center" vertical="top" wrapText="1"/>
      <protection hidden="1"/>
    </xf>
    <xf numFmtId="168" fontId="5" fillId="0" borderId="0" xfId="0" applyNumberFormat="1" applyFont="1" applyFill="1" applyBorder="1" applyAlignment="1" applyProtection="1">
      <alignment horizontal="center" vertical="top" wrapText="1"/>
      <protection hidden="1"/>
    </xf>
    <xf numFmtId="0" fontId="0" fillId="0" borderId="0" xfId="0" applyFill="1" applyBorder="1" applyProtection="1">
      <protection hidden="1"/>
    </xf>
    <xf numFmtId="0" fontId="8" fillId="0" borderId="0" xfId="0" applyNumberFormat="1" applyFont="1" applyFill="1" applyBorder="1" applyAlignment="1" applyProtection="1">
      <alignment horizontal="center" vertical="top" wrapText="1"/>
      <protection hidden="1"/>
    </xf>
    <xf numFmtId="164" fontId="8" fillId="0" borderId="0" xfId="0" applyNumberFormat="1" applyFont="1" applyFill="1" applyBorder="1" applyAlignment="1" applyProtection="1">
      <alignment horizontal="center" vertical="top" wrapText="1"/>
      <protection hidden="1"/>
    </xf>
    <xf numFmtId="167" fontId="0" fillId="0" borderId="0" xfId="0" applyNumberFormat="1" applyFill="1" applyBorder="1" applyAlignment="1" applyProtection="1">
      <alignment horizontal="center" vertical="top"/>
      <protection hidden="1"/>
    </xf>
    <xf numFmtId="169" fontId="5" fillId="0" borderId="0" xfId="0" applyNumberFormat="1" applyFont="1" applyFill="1" applyBorder="1" applyAlignment="1" applyProtection="1">
      <alignment horizontal="center" vertical="top" wrapText="1"/>
      <protection hidden="1"/>
    </xf>
    <xf numFmtId="170" fontId="8" fillId="0" borderId="0" xfId="0" applyNumberFormat="1" applyFont="1" applyFill="1" applyBorder="1" applyAlignment="1" applyProtection="1">
      <alignment horizontal="center" vertical="top" wrapText="1"/>
      <protection hidden="1"/>
    </xf>
    <xf numFmtId="164" fontId="8" fillId="0" borderId="0" xfId="0" applyNumberFormat="1" applyFont="1" applyFill="1" applyBorder="1" applyAlignment="1" applyProtection="1">
      <alignment vertical="top" wrapText="1"/>
      <protection hidden="1"/>
    </xf>
    <xf numFmtId="164" fontId="0" fillId="0" borderId="0" xfId="0" applyNumberFormat="1" applyFill="1" applyBorder="1" applyProtection="1">
      <protection hidden="1"/>
    </xf>
    <xf numFmtId="0" fontId="5" fillId="0" borderId="0" xfId="0" applyFont="1" applyProtection="1">
      <protection hidden="1"/>
    </xf>
    <xf numFmtId="0" fontId="20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22" fillId="0" borderId="0" xfId="0" applyFont="1" applyBorder="1" applyAlignment="1" applyProtection="1">
      <alignment horizontal="left"/>
      <protection hidden="1"/>
    </xf>
    <xf numFmtId="49" fontId="13" fillId="2" borderId="1" xfId="0" applyNumberFormat="1" applyFont="1" applyFill="1" applyBorder="1" applyAlignment="1" applyProtection="1">
      <alignment horizontal="center" vertical="center" wrapText="1"/>
      <protection hidden="1"/>
    </xf>
    <xf numFmtId="49" fontId="4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20" fillId="3" borderId="1" xfId="0" applyFont="1" applyFill="1" applyBorder="1" applyAlignment="1" applyProtection="1">
      <alignment horizontal="center"/>
      <protection hidden="1"/>
    </xf>
    <xf numFmtId="1" fontId="20" fillId="3" borderId="1" xfId="0" applyNumberFormat="1" applyFont="1" applyFill="1" applyBorder="1" applyAlignment="1" applyProtection="1">
      <alignment horizontal="center"/>
      <protection hidden="1"/>
    </xf>
    <xf numFmtId="0" fontId="20" fillId="0" borderId="0" xfId="0" applyFont="1" applyFill="1" applyBorder="1" applyAlignment="1" applyProtection="1">
      <alignment horizontal="center"/>
      <protection hidden="1"/>
    </xf>
    <xf numFmtId="167" fontId="3" fillId="0" borderId="0" xfId="0" applyNumberFormat="1" applyFont="1" applyFill="1" applyBorder="1" applyAlignment="1" applyProtection="1">
      <alignment horizontal="center" vertical="top" wrapText="1"/>
      <protection hidden="1"/>
    </xf>
    <xf numFmtId="168" fontId="3" fillId="0" borderId="0" xfId="0" applyNumberFormat="1" applyFont="1" applyFill="1" applyBorder="1" applyAlignment="1" applyProtection="1">
      <alignment horizontal="center" vertical="top" wrapText="1"/>
      <protection hidden="1"/>
    </xf>
    <xf numFmtId="0" fontId="20" fillId="0" borderId="0" xfId="0" applyFont="1" applyFill="1" applyBorder="1" applyProtection="1">
      <protection hidden="1"/>
    </xf>
    <xf numFmtId="0" fontId="12" fillId="0" borderId="0" xfId="0" applyNumberFormat="1" applyFont="1" applyFill="1" applyBorder="1" applyAlignment="1" applyProtection="1">
      <alignment horizontal="center" vertical="top" wrapText="1"/>
      <protection hidden="1"/>
    </xf>
    <xf numFmtId="0" fontId="20" fillId="0" borderId="0" xfId="0" applyFont="1" applyBorder="1" applyProtection="1">
      <protection hidden="1"/>
    </xf>
    <xf numFmtId="0" fontId="21" fillId="0" borderId="0" xfId="0" applyFont="1" applyFill="1" applyBorder="1" applyAlignment="1" applyProtection="1">
      <alignment horizontal="left"/>
      <protection hidden="1"/>
    </xf>
    <xf numFmtId="0" fontId="2" fillId="0" borderId="0" xfId="0" applyFont="1" applyFill="1" applyBorder="1" applyAlignme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0" fillId="0" borderId="0" xfId="0" applyFill="1" applyAlignment="1" applyProtection="1">
      <alignment horizontal="center"/>
      <protection hidden="1"/>
    </xf>
    <xf numFmtId="0" fontId="23" fillId="0" borderId="0" xfId="0" applyFont="1" applyBorder="1" applyAlignment="1" applyProtection="1">
      <alignment horizontal="right" vertical="center"/>
      <protection hidden="1"/>
    </xf>
    <xf numFmtId="0" fontId="23" fillId="0" borderId="0" xfId="0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wrapText="1"/>
      <protection hidden="1"/>
    </xf>
    <xf numFmtId="164" fontId="3" fillId="0" borderId="0" xfId="0" applyNumberFormat="1" applyFont="1" applyFill="1" applyBorder="1" applyAlignment="1" applyProtection="1">
      <protection hidden="1"/>
    </xf>
    <xf numFmtId="0" fontId="10" fillId="0" borderId="0" xfId="0" applyNumberFormat="1" applyFont="1" applyFill="1" applyBorder="1" applyAlignment="1" applyProtection="1">
      <alignment horizontal="center" vertical="top" wrapText="1"/>
      <protection hidden="1"/>
    </xf>
    <xf numFmtId="0" fontId="0" fillId="0" borderId="0" xfId="0" applyFill="1" applyAlignment="1" applyProtection="1">
      <alignment wrapText="1"/>
      <protection hidden="1"/>
    </xf>
    <xf numFmtId="0" fontId="0" fillId="0" borderId="0" xfId="0" applyFill="1" applyProtection="1">
      <protection hidden="1"/>
    </xf>
    <xf numFmtId="164" fontId="0" fillId="0" borderId="0" xfId="0" applyNumberFormat="1" applyFill="1" applyProtection="1">
      <protection hidden="1"/>
    </xf>
    <xf numFmtId="0" fontId="0" fillId="0" borderId="0" xfId="0" applyFill="1" applyBorder="1" applyAlignment="1" applyProtection="1">
      <alignment horizontal="right"/>
      <protection hidden="1"/>
    </xf>
    <xf numFmtId="164" fontId="0" fillId="0" borderId="0" xfId="0" applyNumberFormat="1" applyFill="1" applyAlignment="1" applyProtection="1">
      <alignment horizontal="center"/>
      <protection hidden="1"/>
    </xf>
    <xf numFmtId="49" fontId="7" fillId="0" borderId="0" xfId="0" applyNumberFormat="1" applyFont="1" applyFill="1" applyBorder="1" applyAlignment="1">
      <alignment horizontal="center" vertical="center" wrapText="1"/>
    </xf>
    <xf numFmtId="165" fontId="0" fillId="0" borderId="0" xfId="0" applyNumberFormat="1" applyFill="1" applyBorder="1" applyAlignment="1">
      <alignment horizontal="center"/>
    </xf>
    <xf numFmtId="0" fontId="25" fillId="0" borderId="0" xfId="0" applyFont="1"/>
    <xf numFmtId="0" fontId="15" fillId="0" borderId="0" xfId="0" applyFont="1" applyFill="1" applyBorder="1" applyAlignment="1" applyProtection="1">
      <alignment vertical="top" wrapText="1"/>
      <protection hidden="1"/>
    </xf>
    <xf numFmtId="0" fontId="19" fillId="0" borderId="0" xfId="0" applyFont="1" applyFill="1" applyBorder="1" applyAlignment="1" applyProtection="1">
      <alignment horizontal="center" vertical="top" wrapText="1"/>
      <protection hidden="1"/>
    </xf>
    <xf numFmtId="0" fontId="5" fillId="0" borderId="0" xfId="0" applyFont="1" applyBorder="1" applyAlignment="1" applyProtection="1">
      <alignment vertical="top" wrapText="1"/>
      <protection hidden="1"/>
    </xf>
    <xf numFmtId="0" fontId="9" fillId="0" borderId="0" xfId="0" applyFont="1" applyFill="1" applyBorder="1" applyAlignment="1" applyProtection="1">
      <alignment vertical="top" wrapText="1"/>
      <protection hidden="1"/>
    </xf>
    <xf numFmtId="0" fontId="20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ill="1" applyBorder="1"/>
    <xf numFmtId="0" fontId="25" fillId="0" borderId="0" xfId="0" applyFont="1" applyFill="1" applyBorder="1"/>
    <xf numFmtId="49" fontId="24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26" fillId="0" borderId="0" xfId="0" applyFont="1" applyAlignment="1">
      <alignment horizontal="justify"/>
    </xf>
    <xf numFmtId="0" fontId="26" fillId="0" borderId="0" xfId="0" applyFont="1" applyAlignment="1">
      <alignment horizontal="left" indent="3"/>
    </xf>
    <xf numFmtId="0" fontId="25" fillId="0" borderId="0" xfId="0" applyFont="1" applyAlignment="1">
      <alignment wrapText="1"/>
    </xf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165" fontId="25" fillId="0" borderId="0" xfId="0" applyNumberFormat="1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7" fillId="0" borderId="0" xfId="0" applyFont="1" applyAlignment="1">
      <alignment horizontal="justify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9" fontId="25" fillId="0" borderId="0" xfId="0" applyNumberFormat="1" applyFont="1" applyAlignment="1">
      <alignment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25" fillId="0" borderId="0" xfId="0" applyNumberFormat="1" applyFont="1" applyFill="1" applyBorder="1" applyAlignment="1">
      <alignment horizontal="center" vertical="center"/>
    </xf>
    <xf numFmtId="49" fontId="25" fillId="0" borderId="0" xfId="0" applyNumberFormat="1" applyFont="1" applyFill="1" applyBorder="1" applyAlignment="1">
      <alignment vertical="center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right" vertical="center"/>
    </xf>
    <xf numFmtId="0" fontId="26" fillId="0" borderId="0" xfId="0" applyFont="1" applyAlignment="1">
      <alignment horizontal="justify" vertical="center"/>
    </xf>
    <xf numFmtId="0" fontId="0" fillId="0" borderId="0" xfId="0" applyBorder="1" applyProtection="1">
      <protection hidden="1"/>
    </xf>
    <xf numFmtId="0" fontId="0" fillId="0" borderId="1" xfId="0" applyBorder="1" applyProtection="1">
      <protection hidden="1"/>
    </xf>
    <xf numFmtId="0" fontId="3" fillId="0" borderId="0" xfId="0" applyFont="1" applyBorder="1" applyAlignment="1" applyProtection="1">
      <alignment horizontal="left" wrapText="1"/>
      <protection hidden="1"/>
    </xf>
    <xf numFmtId="0" fontId="20" fillId="0" borderId="0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0" xfId="0" applyFont="1" applyFill="1"/>
    <xf numFmtId="0" fontId="1" fillId="0" borderId="1" xfId="0" applyFont="1" applyBorder="1" applyAlignment="1">
      <alignment horizontal="center"/>
    </xf>
    <xf numFmtId="173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7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5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2" fontId="0" fillId="0" borderId="1" xfId="0" applyNumberFormat="1" applyBorder="1" applyAlignment="1">
      <alignment horizontal="center"/>
    </xf>
    <xf numFmtId="0" fontId="34" fillId="0" borderId="1" xfId="0" applyFont="1" applyBorder="1" applyAlignment="1" applyProtection="1">
      <alignment horizontal="center" vertical="top" wrapText="1"/>
      <protection hidden="1"/>
    </xf>
    <xf numFmtId="2" fontId="33" fillId="6" borderId="1" xfId="0" applyNumberFormat="1" applyFont="1" applyFill="1" applyBorder="1" applyAlignment="1">
      <alignment horizontal="center"/>
    </xf>
    <xf numFmtId="0" fontId="28" fillId="0" borderId="1" xfId="0" applyFont="1" applyBorder="1" applyAlignment="1">
      <alignment horizontal="right"/>
    </xf>
    <xf numFmtId="0" fontId="17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NumberFormat="1" applyFill="1" applyBorder="1" applyAlignment="1" applyProtection="1">
      <protection hidden="1"/>
    </xf>
    <xf numFmtId="164" fontId="8" fillId="0" borderId="0" xfId="0" applyNumberFormat="1" applyFont="1" applyFill="1" applyBorder="1" applyAlignment="1" applyProtection="1">
      <alignment horizontal="center" vertical="top"/>
      <protection hidden="1"/>
    </xf>
    <xf numFmtId="169" fontId="5" fillId="0" borderId="0" xfId="0" applyNumberFormat="1" applyFont="1" applyFill="1" applyBorder="1" applyAlignment="1" applyProtection="1">
      <alignment horizontal="center" vertical="top"/>
      <protection hidden="1"/>
    </xf>
    <xf numFmtId="0" fontId="0" fillId="0" borderId="0" xfId="0" applyNumberFormat="1" applyFill="1" applyBorder="1" applyAlignment="1" applyProtection="1">
      <alignment horizontal="center"/>
      <protection hidden="1"/>
    </xf>
    <xf numFmtId="0" fontId="0" fillId="0" borderId="0" xfId="0" applyFill="1" applyAlignment="1" applyProtection="1">
      <alignment vertical="center"/>
      <protection locked="0"/>
    </xf>
    <xf numFmtId="0" fontId="37" fillId="0" borderId="0" xfId="0" applyNumberFormat="1" applyFont="1" applyFill="1" applyBorder="1" applyAlignment="1" applyProtection="1">
      <alignment horizontal="center" vertical="top" wrapText="1"/>
      <protection hidden="1"/>
    </xf>
    <xf numFmtId="0" fontId="22" fillId="0" borderId="0" xfId="0" applyFont="1" applyBorder="1" applyAlignment="1" applyProtection="1">
      <alignment horizontal="lef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0" fillId="0" borderId="0" xfId="0" applyFill="1" applyProtection="1">
      <protection locked="0"/>
    </xf>
    <xf numFmtId="0" fontId="36" fillId="0" borderId="0" xfId="0" applyFont="1" applyFill="1" applyBorder="1" applyProtection="1">
      <protection locked="0"/>
    </xf>
    <xf numFmtId="0" fontId="2" fillId="0" borderId="0" xfId="0" applyFont="1" applyFill="1" applyBorder="1" applyAlignment="1" applyProtection="1">
      <protection locked="0"/>
    </xf>
    <xf numFmtId="169" fontId="5" fillId="0" borderId="0" xfId="0" applyNumberFormat="1" applyFont="1" applyFill="1" applyBorder="1" applyAlignment="1" applyProtection="1">
      <alignment horizontal="left" vertical="top"/>
      <protection hidden="1"/>
    </xf>
    <xf numFmtId="170" fontId="8" fillId="0" borderId="0" xfId="0" applyNumberFormat="1" applyFont="1" applyFill="1" applyBorder="1" applyAlignment="1" applyProtection="1">
      <alignment horizontal="left" vertical="top"/>
      <protection hidden="1"/>
    </xf>
    <xf numFmtId="164" fontId="0" fillId="0" borderId="0" xfId="0" applyNumberFormat="1" applyFill="1" applyAlignment="1" applyProtection="1">
      <alignment horizontal="left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164" fontId="0" fillId="0" borderId="0" xfId="0" applyNumberFormat="1" applyFill="1" applyBorder="1" applyAlignment="1" applyProtection="1">
      <alignment horizontal="left"/>
      <protection hidden="1"/>
    </xf>
    <xf numFmtId="0" fontId="5" fillId="0" borderId="0" xfId="0" applyFont="1" applyFill="1" applyAlignment="1" applyProtection="1">
      <alignment horizontal="center"/>
      <protection hidden="1"/>
    </xf>
    <xf numFmtId="0" fontId="5" fillId="0" borderId="0" xfId="0" applyFont="1" applyFill="1" applyProtection="1">
      <protection hidden="1"/>
    </xf>
    <xf numFmtId="0" fontId="0" fillId="0" borderId="0" xfId="0" quotePrefix="1" applyFill="1" applyProtection="1">
      <protection hidden="1"/>
    </xf>
    <xf numFmtId="0" fontId="38" fillId="0" borderId="0" xfId="0" applyFont="1" applyFill="1" applyProtection="1">
      <protection hidden="1"/>
    </xf>
    <xf numFmtId="0" fontId="5" fillId="0" borderId="0" xfId="0" quotePrefix="1" applyFont="1" applyFill="1" applyProtection="1">
      <protection hidden="1"/>
    </xf>
    <xf numFmtId="164" fontId="8" fillId="0" borderId="0" xfId="0" applyNumberFormat="1" applyFont="1" applyFill="1" applyBorder="1" applyAlignment="1" applyProtection="1">
      <alignment horizontal="left" vertical="top"/>
      <protection hidden="1"/>
    </xf>
    <xf numFmtId="0" fontId="51" fillId="0" borderId="0" xfId="0" applyFont="1" applyFill="1" applyBorder="1" applyAlignment="1" applyProtection="1">
      <alignment horizontal="center" vertical="center" wrapText="1"/>
      <protection hidden="1"/>
    </xf>
    <xf numFmtId="0" fontId="52" fillId="0" borderId="0" xfId="0" applyFont="1" applyFill="1" applyBorder="1" applyAlignment="1" applyProtection="1">
      <alignment vertical="top" wrapText="1"/>
      <protection hidden="1"/>
    </xf>
    <xf numFmtId="0" fontId="52" fillId="0" borderId="0" xfId="0" applyFont="1" applyFill="1" applyBorder="1" applyAlignment="1" applyProtection="1">
      <alignment horizontal="center" vertical="top" wrapText="1"/>
      <protection hidden="1"/>
    </xf>
    <xf numFmtId="0" fontId="53" fillId="0" borderId="0" xfId="0" applyFont="1" applyFill="1" applyBorder="1" applyAlignment="1" applyProtection="1">
      <alignment horizontal="center" vertical="top" wrapText="1"/>
      <protection hidden="1"/>
    </xf>
    <xf numFmtId="0" fontId="54" fillId="0" borderId="0" xfId="0" applyFont="1" applyFill="1" applyBorder="1" applyAlignment="1" applyProtection="1">
      <alignment vertical="top" wrapText="1"/>
      <protection hidden="1"/>
    </xf>
    <xf numFmtId="1" fontId="52" fillId="0" borderId="0" xfId="0" applyNumberFormat="1" applyFont="1" applyFill="1" applyBorder="1" applyAlignment="1" applyProtection="1">
      <alignment horizontal="center" vertical="top" wrapText="1"/>
      <protection hidden="1"/>
    </xf>
    <xf numFmtId="171" fontId="52" fillId="0" borderId="0" xfId="0" applyNumberFormat="1" applyFont="1" applyFill="1" applyBorder="1" applyAlignment="1" applyProtection="1">
      <alignment horizontal="center" vertical="top" wrapText="1"/>
      <protection hidden="1"/>
    </xf>
    <xf numFmtId="165" fontId="52" fillId="0" borderId="0" xfId="0" applyNumberFormat="1" applyFont="1" applyFill="1" applyBorder="1" applyAlignment="1" applyProtection="1">
      <alignment horizontal="center" vertical="top" wrapText="1"/>
      <protection hidden="1"/>
    </xf>
    <xf numFmtId="165" fontId="55" fillId="0" borderId="0" xfId="0" applyNumberFormat="1" applyFont="1" applyFill="1" applyBorder="1" applyAlignment="1" applyProtection="1">
      <alignment horizontal="center" vertical="top" wrapText="1"/>
      <protection hidden="1"/>
    </xf>
    <xf numFmtId="0" fontId="56" fillId="7" borderId="0" xfId="0" applyFont="1" applyFill="1" applyBorder="1" applyAlignment="1" applyProtection="1">
      <alignment vertical="top" wrapText="1"/>
      <protection hidden="1"/>
    </xf>
    <xf numFmtId="0" fontId="18" fillId="0" borderId="0" xfId="0" applyFont="1" applyFill="1" applyBorder="1" applyAlignment="1" applyProtection="1">
      <alignment horizontal="center" vertical="top" wrapText="1"/>
      <protection hidden="1"/>
    </xf>
    <xf numFmtId="0" fontId="57" fillId="0" borderId="0" xfId="0" applyFont="1" applyFill="1" applyBorder="1" applyAlignment="1" applyProtection="1">
      <alignment vertical="top" wrapText="1"/>
      <protection hidden="1"/>
    </xf>
    <xf numFmtId="0" fontId="16" fillId="0" borderId="0" xfId="0" applyFont="1" applyFill="1" applyBorder="1" applyAlignment="1" applyProtection="1">
      <alignment horizontal="center" vertical="top" wrapText="1"/>
      <protection hidden="1"/>
    </xf>
    <xf numFmtId="0" fontId="53" fillId="0" borderId="0" xfId="0" applyFont="1" applyFill="1" applyBorder="1" applyAlignment="1" applyProtection="1">
      <alignment horizontal="center" vertical="top"/>
      <protection hidden="1"/>
    </xf>
    <xf numFmtId="166" fontId="52" fillId="0" borderId="0" xfId="0" applyNumberFormat="1" applyFont="1" applyFill="1" applyBorder="1" applyAlignment="1" applyProtection="1">
      <alignment horizontal="center" vertical="top" wrapText="1"/>
      <protection hidden="1"/>
    </xf>
    <xf numFmtId="0" fontId="57" fillId="0" borderId="0" xfId="0" applyFont="1" applyFill="1" applyBorder="1" applyAlignment="1" applyProtection="1">
      <alignment vertical="top"/>
      <protection hidden="1"/>
    </xf>
    <xf numFmtId="0" fontId="58" fillId="0" borderId="0" xfId="0" applyFont="1" applyFill="1" applyBorder="1" applyAlignment="1" applyProtection="1">
      <alignment horizontal="center" vertical="top"/>
      <protection hidden="1"/>
    </xf>
    <xf numFmtId="0" fontId="58" fillId="0" borderId="0" xfId="0" applyFont="1" applyFill="1" applyBorder="1" applyAlignment="1">
      <alignment horizontal="center"/>
    </xf>
    <xf numFmtId="0" fontId="52" fillId="0" borderId="0" xfId="0" applyNumberFormat="1" applyFont="1" applyFill="1" applyBorder="1" applyAlignment="1">
      <alignment horizontal="center"/>
    </xf>
    <xf numFmtId="0" fontId="58" fillId="0" borderId="0" xfId="0" applyFont="1" applyFill="1" applyBorder="1" applyAlignment="1" applyProtection="1">
      <alignment horizontal="center" vertical="center"/>
      <protection hidden="1"/>
    </xf>
    <xf numFmtId="49" fontId="58" fillId="0" borderId="0" xfId="0" applyNumberFormat="1" applyFont="1" applyFill="1" applyBorder="1" applyAlignment="1" applyProtection="1">
      <alignment horizontal="center" vertical="center"/>
      <protection hidden="1"/>
    </xf>
    <xf numFmtId="0" fontId="52" fillId="0" borderId="0" xfId="0" applyFont="1" applyBorder="1" applyAlignment="1" applyProtection="1">
      <alignment vertical="center"/>
      <protection hidden="1"/>
    </xf>
    <xf numFmtId="0" fontId="54" fillId="0" borderId="0" xfId="0" applyFont="1" applyBorder="1" applyProtection="1">
      <protection hidden="1"/>
    </xf>
    <xf numFmtId="0" fontId="52" fillId="0" borderId="0" xfId="0" applyFont="1" applyBorder="1" applyAlignment="1" applyProtection="1">
      <protection hidden="1"/>
    </xf>
    <xf numFmtId="164" fontId="52" fillId="0" borderId="0" xfId="0" applyNumberFormat="1" applyFont="1" applyFill="1" applyBorder="1" applyAlignment="1" applyProtection="1">
      <protection hidden="1"/>
    </xf>
    <xf numFmtId="49" fontId="60" fillId="0" borderId="0" xfId="0" applyNumberFormat="1" applyFont="1" applyFill="1" applyBorder="1" applyAlignment="1">
      <alignment horizontal="center" vertical="center" wrapText="1"/>
    </xf>
    <xf numFmtId="0" fontId="59" fillId="0" borderId="0" xfId="0" applyFont="1" applyFill="1" applyBorder="1" applyAlignment="1">
      <alignment horizontal="center" wrapText="1"/>
    </xf>
    <xf numFmtId="2" fontId="52" fillId="0" borderId="0" xfId="0" applyNumberFormat="1" applyFont="1" applyFill="1" applyBorder="1" applyAlignment="1" applyProtection="1">
      <alignment horizontal="center" vertical="top" wrapText="1"/>
      <protection hidden="1"/>
    </xf>
    <xf numFmtId="11" fontId="52" fillId="0" borderId="0" xfId="0" applyNumberFormat="1" applyFont="1" applyFill="1" applyBorder="1" applyAlignment="1" applyProtection="1">
      <alignment horizontal="center" vertical="top" wrapText="1"/>
      <protection hidden="1"/>
    </xf>
    <xf numFmtId="172" fontId="52" fillId="0" borderId="0" xfId="0" applyNumberFormat="1" applyFont="1" applyFill="1" applyBorder="1" applyAlignment="1" applyProtection="1">
      <alignment horizontal="center" vertical="top" wrapText="1"/>
      <protection hidden="1"/>
    </xf>
    <xf numFmtId="0" fontId="51" fillId="0" borderId="0" xfId="0" applyFont="1" applyFill="1" applyBorder="1" applyAlignment="1" applyProtection="1">
      <alignment vertical="top" wrapText="1"/>
      <protection hidden="1"/>
    </xf>
    <xf numFmtId="0" fontId="62" fillId="0" borderId="0" xfId="0" applyFont="1" applyFill="1" applyBorder="1" applyProtection="1">
      <protection hidden="1"/>
    </xf>
    <xf numFmtId="0" fontId="63" fillId="0" borderId="0" xfId="0" applyFont="1" applyAlignment="1">
      <alignment horizontal="left"/>
    </xf>
    <xf numFmtId="0" fontId="61" fillId="0" borderId="0" xfId="0" applyFont="1" applyAlignment="1">
      <alignment horizontal="justify" wrapText="1"/>
    </xf>
    <xf numFmtId="0" fontId="61" fillId="0" borderId="0" xfId="0" applyFont="1" applyAlignment="1">
      <alignment horizontal="justify"/>
    </xf>
    <xf numFmtId="0" fontId="64" fillId="0" borderId="0" xfId="0" applyFont="1" applyAlignment="1">
      <alignment horizontal="justify" vertical="center"/>
    </xf>
    <xf numFmtId="0" fontId="65" fillId="0" borderId="0" xfId="0" applyFont="1" applyAlignment="1">
      <alignment horizontal="justify"/>
    </xf>
    <xf numFmtId="49" fontId="62" fillId="0" borderId="0" xfId="0" applyNumberFormat="1" applyFont="1" applyAlignment="1">
      <alignment horizontal="right" vertical="center"/>
    </xf>
    <xf numFmtId="0" fontId="65" fillId="0" borderId="0" xfId="0" applyFont="1" applyAlignment="1">
      <alignment horizontal="left" wrapText="1"/>
    </xf>
    <xf numFmtId="0" fontId="66" fillId="0" borderId="0" xfId="0" applyFont="1"/>
    <xf numFmtId="0" fontId="67" fillId="0" borderId="0" xfId="0" applyFont="1" applyAlignment="1">
      <alignment horizontal="justify"/>
    </xf>
    <xf numFmtId="0" fontId="65" fillId="0" borderId="0" xfId="0" applyFont="1" applyAlignment="1">
      <alignment horizontal="justify" vertical="center"/>
    </xf>
    <xf numFmtId="0" fontId="51" fillId="0" borderId="0" xfId="0" applyFont="1" applyFill="1" applyBorder="1" applyAlignment="1" applyProtection="1">
      <alignment horizontal="center" vertical="top" wrapText="1"/>
      <protection hidden="1"/>
    </xf>
    <xf numFmtId="0" fontId="58" fillId="0" borderId="0" xfId="0" applyNumberFormat="1" applyFont="1" applyFill="1" applyBorder="1" applyAlignment="1" applyProtection="1">
      <alignment horizontal="center" vertical="center"/>
      <protection hidden="1"/>
    </xf>
    <xf numFmtId="49" fontId="25" fillId="9" borderId="0" xfId="0" applyNumberFormat="1" applyFont="1" applyFill="1" applyBorder="1" applyAlignment="1" applyProtection="1">
      <alignment horizontal="center" vertical="center"/>
      <protection hidden="1"/>
    </xf>
    <xf numFmtId="0" fontId="0" fillId="9" borderId="1" xfId="0" applyFill="1" applyBorder="1" applyAlignment="1">
      <alignment horizontal="center" vertical="center"/>
    </xf>
    <xf numFmtId="49" fontId="5" fillId="9" borderId="0" xfId="0" applyNumberFormat="1" applyFont="1" applyFill="1" applyBorder="1" applyAlignment="1" applyProtection="1">
      <alignment horizontal="center" vertical="center" wrapText="1"/>
      <protection hidden="1"/>
    </xf>
    <xf numFmtId="49" fontId="0" fillId="9" borderId="1" xfId="0" applyNumberFormat="1" applyFill="1" applyBorder="1" applyAlignment="1">
      <alignment horizontal="center" vertical="center"/>
    </xf>
    <xf numFmtId="49" fontId="5" fillId="9" borderId="1" xfId="0" applyNumberFormat="1" applyFont="1" applyFill="1" applyBorder="1" applyAlignment="1" applyProtection="1">
      <alignment horizontal="center" vertical="center" wrapText="1"/>
    </xf>
    <xf numFmtId="49" fontId="0" fillId="9" borderId="0" xfId="0" applyNumberFormat="1" applyFont="1" applyFill="1" applyBorder="1" applyAlignment="1" applyProtection="1">
      <alignment horizontal="center" vertical="center"/>
      <protection hidden="1"/>
    </xf>
    <xf numFmtId="0" fontId="51" fillId="0" borderId="0" xfId="0" applyFont="1" applyFill="1" applyBorder="1" applyAlignment="1" applyProtection="1">
      <alignment horizontal="center" vertical="top" wrapText="1"/>
      <protection hidden="1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hidden="1"/>
    </xf>
    <xf numFmtId="0" fontId="52" fillId="10" borderId="0" xfId="0" applyFont="1" applyFill="1" applyBorder="1" applyAlignment="1" applyProtection="1">
      <alignment horizontal="center" vertical="top" wrapText="1"/>
      <protection hidden="1"/>
    </xf>
    <xf numFmtId="165" fontId="55" fillId="10" borderId="0" xfId="0" applyNumberFormat="1" applyFont="1" applyFill="1" applyBorder="1" applyAlignment="1" applyProtection="1">
      <alignment horizontal="center" vertical="top" wrapText="1"/>
      <protection hidden="1"/>
    </xf>
    <xf numFmtId="0" fontId="56" fillId="10" borderId="0" xfId="0" applyFont="1" applyFill="1" applyBorder="1" applyAlignment="1" applyProtection="1">
      <alignment vertical="top" wrapText="1"/>
      <protection hidden="1"/>
    </xf>
    <xf numFmtId="49" fontId="0" fillId="9" borderId="2" xfId="0" applyNumberForma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49" fontId="0" fillId="9" borderId="4" xfId="0" applyNumberFormat="1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0" borderId="0" xfId="0" applyBorder="1" applyAlignment="1" applyProtection="1">
      <alignment horizontal="center"/>
      <protection hidden="1"/>
    </xf>
    <xf numFmtId="49" fontId="0" fillId="9" borderId="0" xfId="0" applyNumberForma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/>
    </xf>
    <xf numFmtId="0" fontId="0" fillId="0" borderId="5" xfId="0" applyBorder="1" applyAlignment="1" applyProtection="1">
      <alignment horizontal="center"/>
      <protection hidden="1"/>
    </xf>
    <xf numFmtId="2" fontId="69" fillId="0" borderId="0" xfId="0" applyNumberFormat="1" applyFont="1" applyFill="1" applyBorder="1" applyAlignment="1" applyProtection="1">
      <alignment horizontal="center" vertical="top" wrapText="1"/>
      <protection locked="0"/>
    </xf>
    <xf numFmtId="0" fontId="69" fillId="0" borderId="0" xfId="0" applyFont="1" applyFill="1" applyBorder="1" applyAlignment="1" applyProtection="1">
      <alignment horizontal="center" vertical="top" wrapText="1"/>
      <protection locked="0"/>
    </xf>
    <xf numFmtId="1" fontId="69" fillId="0" borderId="0" xfId="0" applyNumberFormat="1" applyFont="1" applyFill="1" applyBorder="1" applyAlignment="1" applyProtection="1">
      <alignment horizontal="center" vertical="top" wrapText="1"/>
      <protection locked="0"/>
    </xf>
    <xf numFmtId="0" fontId="70" fillId="0" borderId="0" xfId="0" applyFont="1" applyBorder="1" applyAlignment="1" applyProtection="1">
      <alignment horizontal="center" vertical="top" wrapText="1"/>
      <protection hidden="1"/>
    </xf>
    <xf numFmtId="0" fontId="68" fillId="0" borderId="0" xfId="0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52" fillId="0" borderId="0" xfId="0" applyFont="1" applyBorder="1" applyAlignment="1" applyProtection="1">
      <alignment horizontal="left" wrapText="1"/>
      <protection hidden="1"/>
    </xf>
    <xf numFmtId="0" fontId="0" fillId="0" borderId="0" xfId="0" applyAlignment="1" applyProtection="1">
      <alignment horizontal="center"/>
      <protection hidden="1"/>
    </xf>
    <xf numFmtId="0" fontId="56" fillId="8" borderId="0" xfId="0" applyFont="1" applyFill="1" applyBorder="1" applyAlignment="1" applyProtection="1">
      <alignment horizontal="center" vertical="top" wrapText="1"/>
      <protection hidden="1"/>
    </xf>
    <xf numFmtId="0" fontId="56" fillId="8" borderId="0" xfId="0" applyFont="1" applyFill="1" applyBorder="1" applyAlignment="1" applyProtection="1">
      <alignment horizontal="center" vertical="top"/>
      <protection hidden="1"/>
    </xf>
    <xf numFmtId="0" fontId="29" fillId="4" borderId="0" xfId="0" applyFont="1" applyFill="1" applyAlignment="1">
      <alignment horizontal="center"/>
    </xf>
    <xf numFmtId="10" fontId="56" fillId="8" borderId="0" xfId="0" applyNumberFormat="1" applyFont="1" applyFill="1" applyBorder="1" applyAlignment="1" applyProtection="1">
      <alignment horizontal="center" vertical="top"/>
      <protection hidden="1"/>
    </xf>
    <xf numFmtId="0" fontId="51" fillId="8" borderId="0" xfId="0" applyFont="1" applyFill="1" applyBorder="1" applyAlignment="1" applyProtection="1">
      <alignment horizontal="center" vertical="top" wrapText="1"/>
      <protection hidden="1"/>
    </xf>
    <xf numFmtId="0" fontId="51" fillId="0" borderId="0" xfId="0" applyFont="1" applyFill="1" applyBorder="1" applyAlignment="1" applyProtection="1">
      <alignment horizontal="center" vertical="top" wrapText="1"/>
      <protection hidden="1"/>
    </xf>
    <xf numFmtId="0" fontId="35" fillId="0" borderId="3" xfId="0" applyFont="1" applyBorder="1" applyAlignment="1" applyProtection="1">
      <alignment horizontal="center"/>
      <protection hidden="1"/>
    </xf>
  </cellXfs>
  <cellStyles count="1">
    <cellStyle name="Обычный" xfId="0" builtinId="0"/>
  </cellStyles>
  <dxfs count="16"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 patternType="solid">
          <bgColor theme="0" tint="-0.14996795556505021"/>
        </patternFill>
      </fill>
    </dxf>
    <dxf>
      <font>
        <color theme="0" tint="-0.14996795556505021"/>
      </font>
      <fill>
        <patternFill>
          <fgColor auto="1"/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fgColor auto="1"/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</border>
    </dxf>
    <dxf>
      <font>
        <color theme="0" tint="-0.14996795556505021"/>
      </font>
      <fill>
        <patternFill>
          <fgColor theme="0"/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w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9.wmf"/><Relationship Id="rId3" Type="http://schemas.openxmlformats.org/officeDocument/2006/relationships/image" Target="../media/image4.wmf"/><Relationship Id="rId7" Type="http://schemas.openxmlformats.org/officeDocument/2006/relationships/image" Target="../media/image8.wmf"/><Relationship Id="rId2" Type="http://schemas.openxmlformats.org/officeDocument/2006/relationships/image" Target="../media/image3.wmf"/><Relationship Id="rId1" Type="http://schemas.openxmlformats.org/officeDocument/2006/relationships/image" Target="../media/image2.wmf"/><Relationship Id="rId6" Type="http://schemas.openxmlformats.org/officeDocument/2006/relationships/image" Target="../media/image7.wmf"/><Relationship Id="rId5" Type="http://schemas.openxmlformats.org/officeDocument/2006/relationships/image" Target="../media/image6.wmf"/><Relationship Id="rId10" Type="http://schemas.openxmlformats.org/officeDocument/2006/relationships/image" Target="../media/image11.wmf"/><Relationship Id="rId4" Type="http://schemas.openxmlformats.org/officeDocument/2006/relationships/image" Target="../media/image5.wmf"/><Relationship Id="rId9" Type="http://schemas.openxmlformats.org/officeDocument/2006/relationships/image" Target="../media/image10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73025</xdr:colOff>
      <xdr:row>6</xdr:row>
      <xdr:rowOff>177800</xdr:rowOff>
    </xdr:from>
    <xdr:ext cx="5283200" cy="2225675"/>
    <xdr:pic>
      <xdr:nvPicPr>
        <xdr:cNvPr id="5" name="Picture 19" descr="РасчетПотерь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625" y="1600200"/>
          <a:ext cx="5283200" cy="222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3657600</xdr:colOff>
          <xdr:row>1</xdr:row>
          <xdr:rowOff>314325</xdr:rowOff>
        </xdr:from>
        <xdr:to>
          <xdr:col>1</xdr:col>
          <xdr:colOff>4305300</xdr:colOff>
          <xdr:row>3</xdr:row>
          <xdr:rowOff>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438150</xdr:colOff>
          <xdr:row>29</xdr:row>
          <xdr:rowOff>19050</xdr:rowOff>
        </xdr:from>
        <xdr:to>
          <xdr:col>1</xdr:col>
          <xdr:colOff>1543050</xdr:colOff>
          <xdr:row>29</xdr:row>
          <xdr:rowOff>533400</xdr:rowOff>
        </xdr:to>
        <xdr:sp macro="" textlink="">
          <xdr:nvSpPr>
            <xdr:cNvPr id="2065" name="Object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447675</xdr:colOff>
          <xdr:row>33</xdr:row>
          <xdr:rowOff>19050</xdr:rowOff>
        </xdr:from>
        <xdr:to>
          <xdr:col>1</xdr:col>
          <xdr:colOff>1200150</xdr:colOff>
          <xdr:row>33</xdr:row>
          <xdr:rowOff>381000</xdr:rowOff>
        </xdr:to>
        <xdr:sp macro="" textlink="">
          <xdr:nvSpPr>
            <xdr:cNvPr id="2068" name="Object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419100</xdr:colOff>
          <xdr:row>36</xdr:row>
          <xdr:rowOff>28575</xdr:rowOff>
        </xdr:from>
        <xdr:to>
          <xdr:col>1</xdr:col>
          <xdr:colOff>1866900</xdr:colOff>
          <xdr:row>36</xdr:row>
          <xdr:rowOff>447675</xdr:rowOff>
        </xdr:to>
        <xdr:sp macro="" textlink="">
          <xdr:nvSpPr>
            <xdr:cNvPr id="2070" name="Object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314325</xdr:colOff>
          <xdr:row>4</xdr:row>
          <xdr:rowOff>76200</xdr:rowOff>
        </xdr:from>
        <xdr:to>
          <xdr:col>1</xdr:col>
          <xdr:colOff>1819275</xdr:colOff>
          <xdr:row>4</xdr:row>
          <xdr:rowOff>266700</xdr:rowOff>
        </xdr:to>
        <xdr:sp macro="" textlink="">
          <xdr:nvSpPr>
            <xdr:cNvPr id="2071" name="Object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400050</xdr:colOff>
      <xdr:row>22</xdr:row>
      <xdr:rowOff>9525</xdr:rowOff>
    </xdr:from>
    <xdr:to>
      <xdr:col>1</xdr:col>
      <xdr:colOff>1381125</xdr:colOff>
      <xdr:row>22</xdr:row>
      <xdr:rowOff>371475</xdr:rowOff>
    </xdr:to>
    <xdr:pic>
      <xdr:nvPicPr>
        <xdr:cNvPr id="2086" name="Picture 24">
          <a:extLst>
            <a:ext uri="{FF2B5EF4-FFF2-40B4-BE49-F238E27FC236}">
              <a16:creationId xmlns:a16="http://schemas.microsoft.com/office/drawing/2014/main" id="{00000000-0008-0000-0100-00002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4676775"/>
          <a:ext cx="981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428625</xdr:colOff>
          <xdr:row>41</xdr:row>
          <xdr:rowOff>19050</xdr:rowOff>
        </xdr:from>
        <xdr:to>
          <xdr:col>1</xdr:col>
          <xdr:colOff>1209675</xdr:colOff>
          <xdr:row>41</xdr:row>
          <xdr:rowOff>381000</xdr:rowOff>
        </xdr:to>
        <xdr:sp macro="" textlink="">
          <xdr:nvSpPr>
            <xdr:cNvPr id="2074" name="Object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400050</xdr:colOff>
          <xdr:row>44</xdr:row>
          <xdr:rowOff>47625</xdr:rowOff>
        </xdr:from>
        <xdr:to>
          <xdr:col>1</xdr:col>
          <xdr:colOff>1323975</xdr:colOff>
          <xdr:row>44</xdr:row>
          <xdr:rowOff>209550</xdr:rowOff>
        </xdr:to>
        <xdr:sp macro="" textlink="">
          <xdr:nvSpPr>
            <xdr:cNvPr id="2076" name="Object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361950</xdr:colOff>
          <xdr:row>48</xdr:row>
          <xdr:rowOff>28575</xdr:rowOff>
        </xdr:from>
        <xdr:to>
          <xdr:col>1</xdr:col>
          <xdr:colOff>1866900</xdr:colOff>
          <xdr:row>48</xdr:row>
          <xdr:rowOff>447675</xdr:rowOff>
        </xdr:to>
        <xdr:sp macro="" textlink="">
          <xdr:nvSpPr>
            <xdr:cNvPr id="2080" name="Object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371475</xdr:colOff>
          <xdr:row>52</xdr:row>
          <xdr:rowOff>9525</xdr:rowOff>
        </xdr:from>
        <xdr:to>
          <xdr:col>1</xdr:col>
          <xdr:colOff>1704975</xdr:colOff>
          <xdr:row>53</xdr:row>
          <xdr:rowOff>0</xdr:rowOff>
        </xdr:to>
        <xdr:sp macro="" textlink="">
          <xdr:nvSpPr>
            <xdr:cNvPr id="2082" name="Object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295275</xdr:colOff>
          <xdr:row>52</xdr:row>
          <xdr:rowOff>447675</xdr:rowOff>
        </xdr:from>
        <xdr:to>
          <xdr:col>1</xdr:col>
          <xdr:colOff>1647825</xdr:colOff>
          <xdr:row>54</xdr:row>
          <xdr:rowOff>9525</xdr:rowOff>
        </xdr:to>
        <xdr:sp macro="" textlink="">
          <xdr:nvSpPr>
            <xdr:cNvPr id="2085" name="Object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390525</xdr:colOff>
      <xdr:row>4</xdr:row>
      <xdr:rowOff>323850</xdr:rowOff>
    </xdr:from>
    <xdr:to>
      <xdr:col>1</xdr:col>
      <xdr:colOff>5372100</xdr:colOff>
      <xdr:row>20</xdr:row>
      <xdr:rowOff>19050</xdr:rowOff>
    </xdr:to>
    <xdr:pic>
      <xdr:nvPicPr>
        <xdr:cNvPr id="2087" name="Picture 38" descr="Конструкция">
          <a:extLst>
            <a:ext uri="{FF2B5EF4-FFF2-40B4-BE49-F238E27FC236}">
              <a16:creationId xmlns:a16="http://schemas.microsoft.com/office/drawing/2014/main" id="{00000000-0008-0000-0100-00002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819275"/>
          <a:ext cx="4981575" cy="2457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6.w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2.vml"/><Relationship Id="rId21" Type="http://schemas.openxmlformats.org/officeDocument/2006/relationships/image" Target="../media/image10.wmf"/><Relationship Id="rId7" Type="http://schemas.openxmlformats.org/officeDocument/2006/relationships/image" Target="../media/image3.w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8.wmf"/><Relationship Id="rId2" Type="http://schemas.openxmlformats.org/officeDocument/2006/relationships/drawing" Target="../drawings/drawing2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5.wmf"/><Relationship Id="rId5" Type="http://schemas.openxmlformats.org/officeDocument/2006/relationships/image" Target="../media/image2.wmf"/><Relationship Id="rId15" Type="http://schemas.openxmlformats.org/officeDocument/2006/relationships/image" Target="../media/image7.wmf"/><Relationship Id="rId23" Type="http://schemas.openxmlformats.org/officeDocument/2006/relationships/image" Target="../media/image11.w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9.w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4.w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S120"/>
  <sheetViews>
    <sheetView showGridLines="0" showRowColHeaders="0" tabSelected="1" zoomScale="85" zoomScaleNormal="85" workbookViewId="0">
      <selection activeCell="B2" sqref="B2:H2"/>
    </sheetView>
  </sheetViews>
  <sheetFormatPr defaultRowHeight="12.75" x14ac:dyDescent="0.2"/>
  <cols>
    <col min="1" max="1" width="9.140625" style="1"/>
    <col min="2" max="2" width="38.42578125" style="1" customWidth="1"/>
    <col min="3" max="3" width="9.85546875" style="1" customWidth="1"/>
    <col min="4" max="4" width="11.42578125" style="1" customWidth="1"/>
    <col min="5" max="8" width="25.7109375" style="1" customWidth="1"/>
    <col min="9" max="9" width="4.85546875" style="30" customWidth="1"/>
    <col min="10" max="10" width="13.85546875" style="30" hidden="1" customWidth="1"/>
    <col min="11" max="11" width="5.42578125" style="1" hidden="1" customWidth="1"/>
    <col min="12" max="12" width="12.7109375" style="1" hidden="1" customWidth="1"/>
    <col min="13" max="14" width="10.5703125" style="1" hidden="1" customWidth="1"/>
    <col min="15" max="15" width="12.28515625" style="1" hidden="1" customWidth="1"/>
    <col min="16" max="16" width="11" style="1" hidden="1" customWidth="1"/>
    <col min="17" max="17" width="2.5703125" style="1" hidden="1" customWidth="1"/>
    <col min="18" max="18" width="24.140625" style="1" hidden="1" customWidth="1"/>
    <col min="19" max="19" width="13.28515625" style="1" hidden="1" customWidth="1"/>
    <col min="20" max="20" width="13.85546875" style="1" hidden="1" customWidth="1"/>
    <col min="21" max="21" width="1.85546875" style="1" hidden="1" customWidth="1"/>
    <col min="22" max="22" width="5.7109375" style="1" hidden="1" customWidth="1"/>
    <col min="23" max="26" width="10.5703125" style="1" hidden="1" customWidth="1"/>
    <col min="27" max="28" width="17.28515625" style="1" hidden="1" customWidth="1"/>
    <col min="29" max="29" width="10.5703125" style="1" hidden="1" customWidth="1"/>
    <col min="30" max="30" width="4.140625" style="1" hidden="1" customWidth="1"/>
    <col min="31" max="33" width="10.5703125" style="1" hidden="1" customWidth="1"/>
    <col min="34" max="34" width="20.85546875" style="1" hidden="1" customWidth="1"/>
    <col min="35" max="35" width="2.5703125" style="1" hidden="1" customWidth="1"/>
    <col min="36" max="41" width="10.5703125" style="1" hidden="1" customWidth="1"/>
    <col min="42" max="42" width="21.28515625" style="1" hidden="1" customWidth="1"/>
    <col min="43" max="43" width="2.7109375" style="1" hidden="1" customWidth="1"/>
    <col min="44" max="46" width="10.5703125" style="1" hidden="1" customWidth="1"/>
    <col min="47" max="47" width="10.5703125" style="1" customWidth="1"/>
    <col min="48" max="95" width="10.5703125" style="1" bestFit="1" customWidth="1"/>
    <col min="96" max="96" width="10.5703125" style="1" customWidth="1"/>
    <col min="97" max="16384" width="9.140625" style="1"/>
  </cols>
  <sheetData>
    <row r="1" spans="1:12" x14ac:dyDescent="0.2">
      <c r="I1" s="173"/>
      <c r="J1" s="173"/>
    </row>
    <row r="2" spans="1:12" ht="18" x14ac:dyDescent="0.25">
      <c r="B2" s="189" t="s">
        <v>86</v>
      </c>
      <c r="C2" s="190"/>
      <c r="D2" s="190"/>
      <c r="E2" s="190"/>
      <c r="F2" s="190"/>
      <c r="G2" s="190"/>
      <c r="H2" s="190"/>
    </row>
    <row r="3" spans="1:12" x14ac:dyDescent="0.2">
      <c r="B3" s="103"/>
      <c r="C3" s="108"/>
      <c r="D3" s="103"/>
      <c r="E3" s="103"/>
      <c r="F3" s="103"/>
      <c r="G3" s="107"/>
      <c r="H3" s="107"/>
    </row>
    <row r="4" spans="1:12" ht="20.25" x14ac:dyDescent="0.3">
      <c r="A4" s="105"/>
    </row>
    <row r="5" spans="1:12" x14ac:dyDescent="0.2">
      <c r="A5" s="107"/>
    </row>
    <row r="6" spans="1:12" ht="31.5" x14ac:dyDescent="0.2">
      <c r="F6" s="163" t="s">
        <v>155</v>
      </c>
      <c r="G6" s="163"/>
      <c r="H6" s="163"/>
    </row>
    <row r="7" spans="1:12" s="17" customFormat="1" ht="20.25" x14ac:dyDescent="0.3">
      <c r="A7" s="1"/>
      <c r="B7" s="1"/>
      <c r="C7" s="1"/>
      <c r="D7" s="1"/>
      <c r="E7" s="1"/>
      <c r="F7" s="6"/>
      <c r="G7" s="147" t="s">
        <v>152</v>
      </c>
      <c r="H7" s="147" t="s">
        <v>153</v>
      </c>
      <c r="I7" s="106"/>
      <c r="J7" s="106"/>
      <c r="K7" s="28"/>
      <c r="L7" s="28"/>
    </row>
    <row r="8" spans="1:12" s="39" customFormat="1" ht="20.25" customHeight="1" x14ac:dyDescent="0.2">
      <c r="A8" s="1"/>
      <c r="B8" s="1"/>
      <c r="C8" s="1"/>
      <c r="D8" s="1"/>
      <c r="E8" s="1"/>
      <c r="F8" s="146" t="s">
        <v>4</v>
      </c>
      <c r="G8" s="146" t="s">
        <v>154</v>
      </c>
      <c r="H8" s="146" t="s">
        <v>154</v>
      </c>
      <c r="I8" s="109"/>
      <c r="J8" s="109"/>
      <c r="K8" s="29"/>
      <c r="L8" s="29"/>
    </row>
    <row r="9" spans="1:12" ht="15" x14ac:dyDescent="0.2">
      <c r="F9" s="138" t="s">
        <v>180</v>
      </c>
      <c r="G9" s="139" t="s">
        <v>156</v>
      </c>
      <c r="H9" s="139">
        <v>135</v>
      </c>
    </row>
    <row r="10" spans="1:12" ht="15.75" customHeight="1" x14ac:dyDescent="0.2">
      <c r="F10" s="138" t="s">
        <v>67</v>
      </c>
      <c r="G10" s="139">
        <v>115</v>
      </c>
      <c r="H10" s="139">
        <v>155</v>
      </c>
    </row>
    <row r="11" spans="1:12" ht="15.75" customHeight="1" x14ac:dyDescent="0.2">
      <c r="F11" s="138" t="s">
        <v>181</v>
      </c>
      <c r="G11" s="139" t="s">
        <v>156</v>
      </c>
      <c r="H11" s="139">
        <v>200</v>
      </c>
    </row>
    <row r="12" spans="1:12" ht="15.75" customHeight="1" x14ac:dyDescent="0.2">
      <c r="F12" s="140" t="s">
        <v>68</v>
      </c>
      <c r="G12" s="140">
        <v>128</v>
      </c>
      <c r="H12" s="140">
        <v>200</v>
      </c>
    </row>
    <row r="13" spans="1:12" ht="15.75" customHeight="1" x14ac:dyDescent="0.2">
      <c r="F13" s="141" t="s">
        <v>69</v>
      </c>
      <c r="G13" s="164">
        <v>186</v>
      </c>
      <c r="H13" s="141">
        <v>200</v>
      </c>
    </row>
    <row r="14" spans="1:12" ht="15.75" customHeight="1" x14ac:dyDescent="0.2">
      <c r="F14" s="141" t="s">
        <v>70</v>
      </c>
      <c r="G14" s="164">
        <v>153</v>
      </c>
      <c r="H14" s="141">
        <v>200</v>
      </c>
    </row>
    <row r="15" spans="1:12" ht="15.75" customHeight="1" x14ac:dyDescent="0.2">
      <c r="F15" s="141" t="s">
        <v>71</v>
      </c>
      <c r="G15" s="164">
        <v>186</v>
      </c>
      <c r="H15" s="141">
        <v>200</v>
      </c>
    </row>
    <row r="16" spans="1:12" ht="15.75" customHeight="1" x14ac:dyDescent="0.2">
      <c r="F16" s="141" t="s">
        <v>72</v>
      </c>
      <c r="G16" s="141">
        <v>186</v>
      </c>
      <c r="H16" s="141">
        <v>200</v>
      </c>
    </row>
    <row r="17" spans="1:45" ht="15.75" customHeight="1" x14ac:dyDescent="0.2">
      <c r="F17" s="141" t="s">
        <v>73</v>
      </c>
      <c r="G17" s="141">
        <v>217</v>
      </c>
      <c r="H17" s="141">
        <v>250</v>
      </c>
    </row>
    <row r="18" spans="1:45" ht="15.75" customHeight="1" x14ac:dyDescent="0.2">
      <c r="F18" s="141" t="s">
        <v>74</v>
      </c>
      <c r="G18" s="141" t="s">
        <v>156</v>
      </c>
      <c r="H18" s="164">
        <v>314</v>
      </c>
    </row>
    <row r="19" spans="1:45" ht="15.75" customHeight="1" x14ac:dyDescent="0.2">
      <c r="F19" s="141" t="s">
        <v>177</v>
      </c>
      <c r="G19" s="141" t="s">
        <v>156</v>
      </c>
      <c r="H19" s="164">
        <v>358</v>
      </c>
    </row>
    <row r="20" spans="1:45" ht="15.75" customHeight="1" x14ac:dyDescent="0.2">
      <c r="F20" s="141" t="s">
        <v>178</v>
      </c>
      <c r="G20" s="141" t="s">
        <v>156</v>
      </c>
      <c r="H20" s="164">
        <v>400</v>
      </c>
      <c r="R20" s="192"/>
      <c r="S20" s="192"/>
      <c r="T20" s="192"/>
      <c r="AS20" s="6"/>
    </row>
    <row r="21" spans="1:45" ht="15.75" customHeight="1" x14ac:dyDescent="0.2">
      <c r="F21" s="141" t="s">
        <v>179</v>
      </c>
      <c r="G21" s="141" t="s">
        <v>156</v>
      </c>
      <c r="H21" s="164">
        <v>438</v>
      </c>
      <c r="I21" s="2"/>
      <c r="J21" s="2"/>
      <c r="N21" s="27"/>
      <c r="Q21" s="15"/>
      <c r="W21" s="195" t="s">
        <v>125</v>
      </c>
      <c r="X21" s="195"/>
      <c r="Y21" s="195"/>
      <c r="Z21" s="195"/>
      <c r="AA21" s="195"/>
      <c r="AB21" s="195"/>
      <c r="AF21" s="83"/>
      <c r="AG21" s="83"/>
      <c r="AH21" s="83"/>
      <c r="AI21" s="83"/>
      <c r="AJ21" s="83"/>
      <c r="AK21" s="84"/>
      <c r="AL21" s="83"/>
    </row>
    <row r="22" spans="1:45" ht="16.5" customHeight="1" x14ac:dyDescent="0.2">
      <c r="N22" s="15"/>
      <c r="Q22" s="15"/>
      <c r="R22" s="199" t="s">
        <v>146</v>
      </c>
      <c r="S22" s="199"/>
      <c r="T22" s="199"/>
      <c r="W22" s="79">
        <v>1</v>
      </c>
      <c r="X22" s="80" t="s">
        <v>147</v>
      </c>
      <c r="Y22" s="80" t="s">
        <v>148</v>
      </c>
      <c r="Z22" s="80" t="s">
        <v>149</v>
      </c>
      <c r="AA22" s="80" t="s">
        <v>150</v>
      </c>
      <c r="AB22" s="30" t="s">
        <v>151</v>
      </c>
      <c r="AF22" s="83"/>
      <c r="AG22" s="83"/>
      <c r="AH22" s="83"/>
      <c r="AI22" s="83"/>
      <c r="AJ22" s="83"/>
      <c r="AK22" s="84"/>
      <c r="AL22" s="83"/>
    </row>
    <row r="23" spans="1:45" ht="19.5" customHeight="1" x14ac:dyDescent="0.3">
      <c r="A23" s="76"/>
      <c r="B23" s="198" t="s">
        <v>78</v>
      </c>
      <c r="C23" s="198"/>
      <c r="D23" s="198"/>
      <c r="E23" s="198"/>
      <c r="F23" s="198"/>
      <c r="G23" s="198"/>
      <c r="H23" s="198"/>
      <c r="M23" s="94" t="s">
        <v>141</v>
      </c>
      <c r="N23" s="94" t="s">
        <v>142</v>
      </c>
      <c r="O23" s="94" t="s">
        <v>143</v>
      </c>
      <c r="P23" s="94" t="s">
        <v>144</v>
      </c>
      <c r="Q23" s="15"/>
      <c r="R23" s="18" t="s">
        <v>4</v>
      </c>
      <c r="S23" s="18" t="s">
        <v>154</v>
      </c>
      <c r="T23" s="19" t="s">
        <v>5</v>
      </c>
      <c r="W23" s="81" t="s">
        <v>4</v>
      </c>
      <c r="X23" s="81" t="s">
        <v>126</v>
      </c>
      <c r="Y23" s="81" t="s">
        <v>127</v>
      </c>
      <c r="Z23" s="82" t="s">
        <v>128</v>
      </c>
      <c r="AA23" s="81" t="s">
        <v>129</v>
      </c>
      <c r="AB23" s="81" t="s">
        <v>208</v>
      </c>
      <c r="AC23" s="113"/>
      <c r="AE23" s="85" t="s">
        <v>130</v>
      </c>
      <c r="AF23" s="85" t="s">
        <v>131</v>
      </c>
      <c r="AG23" s="85" t="s">
        <v>132</v>
      </c>
      <c r="AH23" s="86" t="s">
        <v>133</v>
      </c>
      <c r="AI23" s="80"/>
      <c r="AJ23" s="97" t="s">
        <v>134</v>
      </c>
      <c r="AK23" s="97" t="s">
        <v>134</v>
      </c>
      <c r="AL23" s="97" t="s">
        <v>134</v>
      </c>
      <c r="AM23" s="97" t="s">
        <v>134</v>
      </c>
    </row>
    <row r="24" spans="1:45" ht="17.25" customHeight="1" x14ac:dyDescent="0.2">
      <c r="B24" s="76"/>
      <c r="C24" s="121" t="s">
        <v>2</v>
      </c>
      <c r="D24" s="121" t="s">
        <v>3</v>
      </c>
      <c r="E24" s="188" t="s">
        <v>120</v>
      </c>
      <c r="F24" s="188" t="s">
        <v>121</v>
      </c>
      <c r="G24" s="188" t="s">
        <v>122</v>
      </c>
      <c r="H24" s="188" t="s">
        <v>123</v>
      </c>
      <c r="L24" s="87" t="s">
        <v>139</v>
      </c>
      <c r="M24" s="93">
        <f>E27+273.15</f>
        <v>373.15</v>
      </c>
      <c r="N24" s="93">
        <f>F27+273.15</f>
        <v>373.15</v>
      </c>
      <c r="O24" s="93">
        <f>G27+273.15</f>
        <v>373.15</v>
      </c>
      <c r="P24" s="93">
        <f>H27+273.15</f>
        <v>373.15</v>
      </c>
      <c r="Q24" s="15"/>
      <c r="R24" s="20" t="s">
        <v>273</v>
      </c>
      <c r="S24" s="20">
        <v>135</v>
      </c>
      <c r="T24" s="21">
        <v>15</v>
      </c>
      <c r="V24" s="30">
        <v>1</v>
      </c>
      <c r="W24" s="168" t="s">
        <v>201</v>
      </c>
      <c r="X24" s="166">
        <v>15</v>
      </c>
      <c r="Y24" s="166">
        <f>IF(NOT(AA24=X24),(X24*2),0)</f>
        <v>0</v>
      </c>
      <c r="Z24" s="166" t="str">
        <f>CONCATENATE((ROUND(DEGREES(ATAN((AA24-X24)/2/(AB24-10))),2)*2))</f>
        <v>0</v>
      </c>
      <c r="AA24" s="166">
        <v>15</v>
      </c>
      <c r="AB24" s="166">
        <v>0</v>
      </c>
      <c r="AC24" s="170"/>
      <c r="AE24" s="87">
        <v>1</v>
      </c>
      <c r="AF24" s="87">
        <v>0</v>
      </c>
      <c r="AG24" s="87">
        <v>-2</v>
      </c>
      <c r="AH24" s="88">
        <v>0.14632971213167001</v>
      </c>
      <c r="AI24" s="89"/>
      <c r="AJ24" s="98">
        <f>-AH24*AF24*(7.1-$M$27)^(AF24-1)*($M$26-1.222)^AG24</f>
        <v>0</v>
      </c>
      <c r="AK24" s="98">
        <f>-AH24*AF24*(7.1-$N$27)^(AF24-1)*($N$26-1.222)^AG24</f>
        <v>0</v>
      </c>
      <c r="AL24" s="98">
        <f>-AH24*AF24*(7.1-$O$27)^(AF24-1)*($O$26-1.222)^AG24</f>
        <v>0</v>
      </c>
      <c r="AM24" s="98">
        <f>-AH24*AF24*(7.1-$P$27)^(AF24-1)*($P$26-1.222)^AG24</f>
        <v>0</v>
      </c>
    </row>
    <row r="25" spans="1:45" ht="15" x14ac:dyDescent="0.2">
      <c r="B25" s="193" t="s">
        <v>6</v>
      </c>
      <c r="C25" s="193"/>
      <c r="D25" s="193"/>
      <c r="E25" s="193"/>
      <c r="F25" s="193"/>
      <c r="G25" s="193"/>
      <c r="H25" s="193"/>
      <c r="L25" s="87" t="s">
        <v>138</v>
      </c>
      <c r="M25" s="87">
        <f>E28*0.0980665</f>
        <v>0.68646549999999995</v>
      </c>
      <c r="N25" s="87">
        <f>F28*0.0980665</f>
        <v>0.68646549999999995</v>
      </c>
      <c r="O25" s="87">
        <f>G28*0.0980665</f>
        <v>0.68646549999999995</v>
      </c>
      <c r="P25" s="87">
        <f>H28*0.0980665</f>
        <v>0.68646549999999995</v>
      </c>
      <c r="Q25" s="15"/>
      <c r="R25" s="20" t="s">
        <v>182</v>
      </c>
      <c r="S25" s="20">
        <v>115</v>
      </c>
      <c r="T25" s="21">
        <v>20</v>
      </c>
      <c r="V25" s="30">
        <v>2</v>
      </c>
      <c r="W25" s="168" t="s">
        <v>202</v>
      </c>
      <c r="X25" s="166">
        <v>15</v>
      </c>
      <c r="Y25" s="166">
        <f t="shared" ref="Y25:Y88" si="0">IF(NOT(AA25=X25),(X25*2),0)</f>
        <v>30</v>
      </c>
      <c r="Z25" s="166" t="str">
        <f t="shared" ref="Z25:Z88" si="1">CONCATENATE((ROUND(DEGREES(ATAN((AA25-X25)/2/(AB25-10))),2)*2))</f>
        <v>14,26</v>
      </c>
      <c r="AA25" s="166">
        <v>20</v>
      </c>
      <c r="AB25" s="166">
        <v>30</v>
      </c>
      <c r="AC25" s="165"/>
      <c r="AE25" s="87">
        <v>2</v>
      </c>
      <c r="AF25" s="87">
        <v>0</v>
      </c>
      <c r="AG25" s="87">
        <v>-1</v>
      </c>
      <c r="AH25" s="88">
        <v>-0.84548187169113997</v>
      </c>
      <c r="AI25" s="89"/>
      <c r="AJ25" s="98">
        <f t="shared" ref="AJ25:AJ57" si="2">-AH25*AF25*(7.1-$M$27)^(AF25-1)*($M$26-1.222)^AG25</f>
        <v>0</v>
      </c>
      <c r="AK25" s="98">
        <f t="shared" ref="AK25:AK57" si="3">-AH25*AF25*(7.1-$N$27)^(AF25-1)*($N$26-1.222)^AG25</f>
        <v>0</v>
      </c>
      <c r="AL25" s="98">
        <f t="shared" ref="AL25:AL57" si="4">-AH25*AF25*(7.1-$O$27)^(AF25-1)*($O$26-1.222)^AG25</f>
        <v>0</v>
      </c>
      <c r="AM25" s="98">
        <f t="shared" ref="AM25:AM57" si="5">-AH25*AF25*(7.1-$P$27)^(AF25-1)*($P$26-1.222)^AG25</f>
        <v>0</v>
      </c>
    </row>
    <row r="26" spans="1:45" ht="15.75" x14ac:dyDescent="0.2">
      <c r="B26" s="122" t="s">
        <v>84</v>
      </c>
      <c r="C26" s="123" t="s">
        <v>7</v>
      </c>
      <c r="D26" s="123" t="s">
        <v>8</v>
      </c>
      <c r="E26" s="185">
        <v>4</v>
      </c>
      <c r="F26" s="185">
        <v>4</v>
      </c>
      <c r="G26" s="185">
        <v>4</v>
      </c>
      <c r="H26" s="185">
        <v>4</v>
      </c>
      <c r="L26" s="96" t="s">
        <v>136</v>
      </c>
      <c r="M26" s="87">
        <f>1386/M24</f>
        <v>3.7143239983920679</v>
      </c>
      <c r="N26" s="87">
        <f>1386/N24</f>
        <v>3.7143239983920679</v>
      </c>
      <c r="O26" s="87">
        <f>1386/O24</f>
        <v>3.7143239983920679</v>
      </c>
      <c r="P26" s="87">
        <f>1386/P24</f>
        <v>3.7143239983920679</v>
      </c>
      <c r="Q26" s="15"/>
      <c r="R26" s="20" t="s">
        <v>183</v>
      </c>
      <c r="S26" s="20">
        <v>155</v>
      </c>
      <c r="T26" s="21">
        <v>20</v>
      </c>
      <c r="V26" s="30">
        <v>3</v>
      </c>
      <c r="W26" s="168" t="s">
        <v>203</v>
      </c>
      <c r="X26" s="166">
        <v>15</v>
      </c>
      <c r="Y26" s="166">
        <f t="shared" si="0"/>
        <v>30</v>
      </c>
      <c r="Z26" s="166" t="str">
        <f t="shared" si="1"/>
        <v>28,08</v>
      </c>
      <c r="AA26" s="166">
        <v>25</v>
      </c>
      <c r="AB26" s="166">
        <v>30</v>
      </c>
      <c r="AC26" s="165"/>
      <c r="AE26" s="87">
        <v>3</v>
      </c>
      <c r="AF26" s="87">
        <v>0</v>
      </c>
      <c r="AG26" s="87">
        <v>0</v>
      </c>
      <c r="AH26" s="88">
        <v>-3.756360367204</v>
      </c>
      <c r="AI26" s="89"/>
      <c r="AJ26" s="98">
        <f t="shared" si="2"/>
        <v>0</v>
      </c>
      <c r="AK26" s="98">
        <f t="shared" si="3"/>
        <v>0</v>
      </c>
      <c r="AL26" s="98">
        <f t="shared" si="4"/>
        <v>0</v>
      </c>
      <c r="AM26" s="98">
        <f t="shared" si="5"/>
        <v>0</v>
      </c>
    </row>
    <row r="27" spans="1:45" ht="15.75" x14ac:dyDescent="0.2">
      <c r="B27" s="122" t="s">
        <v>85</v>
      </c>
      <c r="C27" s="123" t="s">
        <v>9</v>
      </c>
      <c r="D27" s="124" t="s">
        <v>157</v>
      </c>
      <c r="E27" s="185">
        <v>100</v>
      </c>
      <c r="F27" s="185">
        <v>100</v>
      </c>
      <c r="G27" s="185">
        <v>100</v>
      </c>
      <c r="H27" s="185">
        <v>100</v>
      </c>
      <c r="L27" s="96" t="s">
        <v>137</v>
      </c>
      <c r="M27" s="87">
        <f>M25/16.53</f>
        <v>4.1528463399879E-2</v>
      </c>
      <c r="N27" s="87">
        <f>N25/16.53</f>
        <v>4.1528463399879E-2</v>
      </c>
      <c r="O27" s="87">
        <f>O25/16.53</f>
        <v>4.1528463399879E-2</v>
      </c>
      <c r="P27" s="87">
        <f>P25/16.53</f>
        <v>4.1528463399879E-2</v>
      </c>
      <c r="Q27" s="15"/>
      <c r="R27" s="20" t="s">
        <v>184</v>
      </c>
      <c r="S27" s="20">
        <v>200</v>
      </c>
      <c r="T27" s="21">
        <v>25</v>
      </c>
      <c r="V27" s="30">
        <v>4</v>
      </c>
      <c r="W27" s="168" t="s">
        <v>204</v>
      </c>
      <c r="X27" s="166">
        <v>15</v>
      </c>
      <c r="Y27" s="166">
        <f t="shared" si="0"/>
        <v>30</v>
      </c>
      <c r="Z27" s="166" t="str">
        <f t="shared" si="1"/>
        <v>27,3</v>
      </c>
      <c r="AA27" s="166">
        <v>32</v>
      </c>
      <c r="AB27" s="166">
        <v>45</v>
      </c>
      <c r="AC27" s="165"/>
      <c r="AE27" s="87">
        <v>4</v>
      </c>
      <c r="AF27" s="87">
        <v>0</v>
      </c>
      <c r="AG27" s="87">
        <v>1</v>
      </c>
      <c r="AH27" s="88">
        <v>3.3855169168385002</v>
      </c>
      <c r="AI27" s="89"/>
      <c r="AJ27" s="98">
        <f t="shared" si="2"/>
        <v>0</v>
      </c>
      <c r="AK27" s="98">
        <f t="shared" si="3"/>
        <v>0</v>
      </c>
      <c r="AL27" s="98">
        <f t="shared" si="4"/>
        <v>0</v>
      </c>
      <c r="AM27" s="98">
        <f t="shared" si="5"/>
        <v>0</v>
      </c>
    </row>
    <row r="28" spans="1:45" ht="15.75" x14ac:dyDescent="0.2">
      <c r="B28" s="122" t="s">
        <v>11</v>
      </c>
      <c r="C28" s="123" t="s">
        <v>12</v>
      </c>
      <c r="D28" s="123" t="s">
        <v>13</v>
      </c>
      <c r="E28" s="185">
        <v>7</v>
      </c>
      <c r="F28" s="185">
        <v>7</v>
      </c>
      <c r="G28" s="185">
        <v>7</v>
      </c>
      <c r="H28" s="185">
        <v>7</v>
      </c>
      <c r="L28" s="91" t="s">
        <v>140</v>
      </c>
      <c r="M28" s="91">
        <f>M27*AJ58*AH58*M24/M25</f>
        <v>1.0431571656937559</v>
      </c>
      <c r="N28" s="91">
        <f>N27*AK58*AH58*N24/N25</f>
        <v>1.0431571656937559</v>
      </c>
      <c r="O28" s="91">
        <f>O27*AL58*AH58*O24/O25</f>
        <v>1.0431571656937559</v>
      </c>
      <c r="P28" s="91">
        <f>P27*AM58*AH58*P24/P25</f>
        <v>1.0431571656937559</v>
      </c>
      <c r="Q28" s="15"/>
      <c r="R28" s="20" t="s">
        <v>185</v>
      </c>
      <c r="S28" s="20">
        <v>128</v>
      </c>
      <c r="T28" s="21">
        <v>32</v>
      </c>
      <c r="V28" s="30">
        <v>5</v>
      </c>
      <c r="W28" s="168" t="s">
        <v>205</v>
      </c>
      <c r="X28" s="166">
        <v>15</v>
      </c>
      <c r="Y28" s="166">
        <f t="shared" si="0"/>
        <v>30</v>
      </c>
      <c r="Z28" s="166" t="str">
        <f t="shared" si="1"/>
        <v>28,08</v>
      </c>
      <c r="AA28" s="166">
        <v>40</v>
      </c>
      <c r="AB28" s="166">
        <v>60</v>
      </c>
      <c r="AC28" s="165"/>
      <c r="AE28" s="87">
        <v>5</v>
      </c>
      <c r="AF28" s="87">
        <v>0</v>
      </c>
      <c r="AG28" s="87">
        <v>2</v>
      </c>
      <c r="AH28" s="88">
        <v>-0.95791963387872003</v>
      </c>
      <c r="AI28" s="89"/>
      <c r="AJ28" s="98">
        <f t="shared" si="2"/>
        <v>0</v>
      </c>
      <c r="AK28" s="98">
        <f t="shared" si="3"/>
        <v>0</v>
      </c>
      <c r="AL28" s="98">
        <f t="shared" si="4"/>
        <v>0</v>
      </c>
      <c r="AM28" s="98">
        <f t="shared" si="5"/>
        <v>0</v>
      </c>
    </row>
    <row r="29" spans="1:45" ht="15.75" customHeight="1" x14ac:dyDescent="0.25">
      <c r="B29" s="193" t="s">
        <v>124</v>
      </c>
      <c r="C29" s="193"/>
      <c r="D29" s="193"/>
      <c r="E29" s="193"/>
      <c r="F29" s="193"/>
      <c r="G29" s="193"/>
      <c r="H29" s="193"/>
      <c r="L29" s="77"/>
      <c r="M29" s="95">
        <f>1/M28*1000</f>
        <v>958.62831880653948</v>
      </c>
      <c r="N29" s="95">
        <f>1/N28*1000</f>
        <v>958.62831880653948</v>
      </c>
      <c r="O29" s="95">
        <f>1/O28*1000</f>
        <v>958.62831880653948</v>
      </c>
      <c r="P29" s="95">
        <f>1/P28*1000</f>
        <v>958.62831880653948</v>
      </c>
      <c r="Q29" s="15"/>
      <c r="R29" s="20" t="s">
        <v>186</v>
      </c>
      <c r="S29" s="20">
        <v>200</v>
      </c>
      <c r="T29" s="21">
        <v>32</v>
      </c>
      <c r="V29" s="30">
        <v>6</v>
      </c>
      <c r="W29" s="168" t="s">
        <v>206</v>
      </c>
      <c r="X29" s="166">
        <v>15</v>
      </c>
      <c r="Y29" s="166">
        <f t="shared" si="0"/>
        <v>30</v>
      </c>
      <c r="Z29" s="166" t="str">
        <f t="shared" si="1"/>
        <v>30,14</v>
      </c>
      <c r="AA29" s="166">
        <v>50</v>
      </c>
      <c r="AB29" s="166">
        <v>75</v>
      </c>
      <c r="AC29" s="165"/>
      <c r="AE29" s="87">
        <v>6</v>
      </c>
      <c r="AF29" s="87">
        <v>0</v>
      </c>
      <c r="AG29" s="87">
        <v>3</v>
      </c>
      <c r="AH29" s="88">
        <v>0.15772038513228001</v>
      </c>
      <c r="AI29" s="89"/>
      <c r="AJ29" s="98">
        <f t="shared" si="2"/>
        <v>0</v>
      </c>
      <c r="AK29" s="98">
        <f t="shared" si="3"/>
        <v>0</v>
      </c>
      <c r="AL29" s="98">
        <f t="shared" si="4"/>
        <v>0</v>
      </c>
      <c r="AM29" s="98">
        <f t="shared" si="5"/>
        <v>0</v>
      </c>
    </row>
    <row r="30" spans="1:45" ht="15.75" customHeight="1" x14ac:dyDescent="0.2">
      <c r="B30" s="122" t="s">
        <v>1</v>
      </c>
      <c r="C30" s="122"/>
      <c r="D30" s="123"/>
      <c r="E30" s="186" t="s">
        <v>273</v>
      </c>
      <c r="F30" s="186" t="s">
        <v>273</v>
      </c>
      <c r="G30" s="186" t="s">
        <v>273</v>
      </c>
      <c r="H30" s="186" t="s">
        <v>273</v>
      </c>
      <c r="N30" s="15"/>
      <c r="O30" s="15"/>
      <c r="P30" s="15"/>
      <c r="Q30" s="15"/>
      <c r="R30" s="20" t="s">
        <v>187</v>
      </c>
      <c r="S30" s="20">
        <v>186</v>
      </c>
      <c r="T30" s="21">
        <v>40</v>
      </c>
      <c r="V30" s="30">
        <v>7</v>
      </c>
      <c r="W30" s="168" t="s">
        <v>207</v>
      </c>
      <c r="X30" s="166">
        <v>15</v>
      </c>
      <c r="Y30" s="166">
        <f t="shared" si="0"/>
        <v>30</v>
      </c>
      <c r="Z30" s="166" t="str">
        <f t="shared" si="1"/>
        <v>31,04</v>
      </c>
      <c r="AA30" s="166">
        <v>65</v>
      </c>
      <c r="AB30" s="166">
        <v>100</v>
      </c>
      <c r="AC30" s="165"/>
      <c r="AE30" s="87">
        <v>7</v>
      </c>
      <c r="AF30" s="87">
        <v>0</v>
      </c>
      <c r="AG30" s="87">
        <v>4</v>
      </c>
      <c r="AH30" s="88">
        <v>-1.6616417199501E-2</v>
      </c>
      <c r="AI30" s="89"/>
      <c r="AJ30" s="98">
        <f t="shared" si="2"/>
        <v>0</v>
      </c>
      <c r="AK30" s="98">
        <f t="shared" si="3"/>
        <v>0</v>
      </c>
      <c r="AL30" s="98">
        <f t="shared" si="4"/>
        <v>0</v>
      </c>
      <c r="AM30" s="98">
        <f t="shared" si="5"/>
        <v>0</v>
      </c>
    </row>
    <row r="31" spans="1:45" ht="15.75" x14ac:dyDescent="0.2">
      <c r="B31" s="122" t="s">
        <v>15</v>
      </c>
      <c r="C31" s="122"/>
      <c r="D31" s="123"/>
      <c r="E31" s="186" t="s">
        <v>201</v>
      </c>
      <c r="F31" s="186" t="s">
        <v>201</v>
      </c>
      <c r="G31" s="186" t="s">
        <v>201</v>
      </c>
      <c r="H31" s="186" t="s">
        <v>201</v>
      </c>
      <c r="N31" s="15"/>
      <c r="O31" s="15"/>
      <c r="P31" s="15"/>
      <c r="Q31" s="15"/>
      <c r="R31" s="20" t="s">
        <v>188</v>
      </c>
      <c r="S31" s="20">
        <v>200</v>
      </c>
      <c r="T31" s="21">
        <v>40</v>
      </c>
      <c r="V31" s="30">
        <v>8</v>
      </c>
      <c r="W31" s="168" t="s">
        <v>23</v>
      </c>
      <c r="X31" s="166">
        <v>20</v>
      </c>
      <c r="Y31" s="166">
        <f t="shared" si="0"/>
        <v>0</v>
      </c>
      <c r="Z31" s="166" t="str">
        <f t="shared" si="1"/>
        <v>0</v>
      </c>
      <c r="AA31" s="166">
        <v>20</v>
      </c>
      <c r="AB31" s="166">
        <v>0</v>
      </c>
      <c r="AC31" s="165"/>
      <c r="AE31" s="87">
        <v>8</v>
      </c>
      <c r="AF31" s="87">
        <v>0</v>
      </c>
      <c r="AG31" s="87">
        <v>5</v>
      </c>
      <c r="AH31" s="88">
        <v>8.1214629983567997E-4</v>
      </c>
      <c r="AI31" s="89"/>
      <c r="AJ31" s="98">
        <f t="shared" si="2"/>
        <v>0</v>
      </c>
      <c r="AK31" s="98">
        <f t="shared" si="3"/>
        <v>0</v>
      </c>
      <c r="AL31" s="98">
        <f t="shared" si="4"/>
        <v>0</v>
      </c>
      <c r="AM31" s="98">
        <f t="shared" si="5"/>
        <v>0</v>
      </c>
    </row>
    <row r="32" spans="1:45" ht="15.75" x14ac:dyDescent="0.2">
      <c r="B32" s="122" t="s">
        <v>17</v>
      </c>
      <c r="C32" s="122"/>
      <c r="D32" s="123"/>
      <c r="E32" s="186" t="s">
        <v>201</v>
      </c>
      <c r="F32" s="186" t="s">
        <v>201</v>
      </c>
      <c r="G32" s="186" t="s">
        <v>201</v>
      </c>
      <c r="H32" s="186" t="s">
        <v>201</v>
      </c>
      <c r="N32" s="15"/>
      <c r="O32" s="15"/>
      <c r="P32" s="15"/>
      <c r="Q32" s="15"/>
      <c r="R32" s="20" t="s">
        <v>189</v>
      </c>
      <c r="S32" s="20">
        <v>153</v>
      </c>
      <c r="T32" s="21">
        <v>50</v>
      </c>
      <c r="U32"/>
      <c r="V32" s="30">
        <v>9</v>
      </c>
      <c r="W32" s="168" t="s">
        <v>209</v>
      </c>
      <c r="X32" s="166">
        <v>20</v>
      </c>
      <c r="Y32" s="166">
        <f t="shared" si="0"/>
        <v>40</v>
      </c>
      <c r="Z32" s="166" t="str">
        <f t="shared" si="1"/>
        <v>14,26</v>
      </c>
      <c r="AA32" s="166">
        <v>25</v>
      </c>
      <c r="AB32" s="166">
        <v>30</v>
      </c>
      <c r="AC32" s="165"/>
      <c r="AE32" s="87">
        <v>9</v>
      </c>
      <c r="AF32" s="87">
        <v>1</v>
      </c>
      <c r="AG32" s="87">
        <v>-9</v>
      </c>
      <c r="AH32" s="88">
        <v>2.8319080123804E-4</v>
      </c>
      <c r="AI32" s="89"/>
      <c r="AJ32" s="98">
        <f t="shared" si="2"/>
        <v>-7.6320050425363502E-8</v>
      </c>
      <c r="AK32" s="98">
        <f t="shared" si="3"/>
        <v>-7.6320050425363502E-8</v>
      </c>
      <c r="AL32" s="98">
        <f t="shared" si="4"/>
        <v>-7.6320050425363502E-8</v>
      </c>
      <c r="AM32" s="98">
        <f t="shared" si="5"/>
        <v>-7.6320050425363502E-8</v>
      </c>
    </row>
    <row r="33" spans="2:93" ht="15.75" x14ac:dyDescent="0.2">
      <c r="B33" s="122" t="s">
        <v>18</v>
      </c>
      <c r="C33" s="124" t="s">
        <v>19</v>
      </c>
      <c r="D33" s="123" t="s">
        <v>20</v>
      </c>
      <c r="E33" s="186">
        <v>0.5</v>
      </c>
      <c r="F33" s="186">
        <v>0.5</v>
      </c>
      <c r="G33" s="186">
        <v>0.5</v>
      </c>
      <c r="H33" s="186">
        <v>0.5</v>
      </c>
      <c r="L33" s="39" t="s">
        <v>28</v>
      </c>
      <c r="N33" s="15"/>
      <c r="O33" s="15"/>
      <c r="P33" s="15"/>
      <c r="Q33" s="15"/>
      <c r="R33" s="20" t="s">
        <v>190</v>
      </c>
      <c r="S33" s="20">
        <v>200</v>
      </c>
      <c r="T33" s="21">
        <v>50</v>
      </c>
      <c r="U33"/>
      <c r="V33" s="30">
        <v>10</v>
      </c>
      <c r="W33" s="169" t="s">
        <v>25</v>
      </c>
      <c r="X33" s="166">
        <v>20</v>
      </c>
      <c r="Y33" s="166">
        <f t="shared" si="0"/>
        <v>40</v>
      </c>
      <c r="Z33" s="166" t="str">
        <f t="shared" si="1"/>
        <v>33,4</v>
      </c>
      <c r="AA33" s="166">
        <v>32</v>
      </c>
      <c r="AB33" s="166">
        <v>30</v>
      </c>
      <c r="AC33" s="167"/>
      <c r="AE33" s="87">
        <v>10</v>
      </c>
      <c r="AF33" s="87">
        <v>1</v>
      </c>
      <c r="AG33" s="87">
        <v>-7</v>
      </c>
      <c r="AH33" s="88">
        <v>-6.0706301565873996E-4</v>
      </c>
      <c r="AI33" s="89"/>
      <c r="AJ33" s="98">
        <f t="shared" si="2"/>
        <v>1.0162540279703102E-6</v>
      </c>
      <c r="AK33" s="98">
        <f t="shared" si="3"/>
        <v>1.0162540279703102E-6</v>
      </c>
      <c r="AL33" s="98">
        <f t="shared" si="4"/>
        <v>1.0162540279703102E-6</v>
      </c>
      <c r="AM33" s="98">
        <f t="shared" si="5"/>
        <v>1.0162540279703102E-6</v>
      </c>
    </row>
    <row r="34" spans="2:93" ht="15.75" x14ac:dyDescent="0.2">
      <c r="B34" s="122" t="s">
        <v>28</v>
      </c>
      <c r="C34" s="123" t="s">
        <v>82</v>
      </c>
      <c r="D34" s="123" t="s">
        <v>20</v>
      </c>
      <c r="E34" s="187">
        <v>135</v>
      </c>
      <c r="F34" s="187">
        <v>135</v>
      </c>
      <c r="G34" s="187">
        <v>135</v>
      </c>
      <c r="H34" s="187">
        <v>135</v>
      </c>
      <c r="I34" s="173"/>
      <c r="J34" s="173"/>
      <c r="L34" s="39">
        <f>VLOOKUP(E30,DyPRAM,2,FALSE)+IF(NOT(E36=E37),(E36*2),0)+IF(NOT(E36=E38),(E36*2),0)</f>
        <v>135</v>
      </c>
      <c r="M34" s="39">
        <f>VLOOKUP(F30,DyPRAM,2,FALSE)+IF(NOT(F36=F37),(F36*2),0)+IF(NOT(F36=F38),(F36*2),0)</f>
        <v>135</v>
      </c>
      <c r="N34" s="39">
        <f>VLOOKUP(G30,DyPRAM,2,FALSE)+IF(NOT(G36=G37),(G36*2),0)+IF(NOT(G36=G38),(G36*2),0)</f>
        <v>135</v>
      </c>
      <c r="O34" s="39">
        <f>VLOOKUP(H30,DyPRAM,2,FALSE)+IF(NOT(H36=H37),(H36*2),0)+IF(NOT(H36=H38),(H36*2),0)</f>
        <v>135</v>
      </c>
      <c r="P34" s="15"/>
      <c r="Q34" s="15"/>
      <c r="R34" s="20" t="s">
        <v>191</v>
      </c>
      <c r="S34" s="20">
        <v>186</v>
      </c>
      <c r="T34" s="21">
        <v>65</v>
      </c>
      <c r="U34"/>
      <c r="V34" s="173">
        <v>11</v>
      </c>
      <c r="W34" s="168" t="s">
        <v>27</v>
      </c>
      <c r="X34" s="166">
        <v>20</v>
      </c>
      <c r="Y34" s="166">
        <f t="shared" si="0"/>
        <v>40</v>
      </c>
      <c r="Z34" s="166" t="str">
        <f t="shared" ref="Z34" si="6">CONCATENATE((ROUND(DEGREES(ATAN((AA34-X34)/2/(AB34-10))),2)*2))</f>
        <v>53,14</v>
      </c>
      <c r="AA34" s="166">
        <v>40</v>
      </c>
      <c r="AB34" s="166">
        <v>30</v>
      </c>
      <c r="AC34" s="165"/>
      <c r="AE34" s="87">
        <v>11</v>
      </c>
      <c r="AF34" s="87">
        <v>1</v>
      </c>
      <c r="AG34" s="87">
        <v>-1</v>
      </c>
      <c r="AH34" s="88">
        <v>-1.8990068218419E-2</v>
      </c>
      <c r="AI34" s="172"/>
      <c r="AJ34" s="98">
        <f t="shared" ref="AJ34" si="7">-AH34*AF34*(7.1-$M$27)^(AF34-1)*($M$26-1.222)^AG34</f>
        <v>7.6194219654709874E-3</v>
      </c>
      <c r="AK34" s="98">
        <f t="shared" ref="AK34" si="8">-AH34*AF34*(7.1-$N$27)^(AF34-1)*($N$26-1.222)^AG34</f>
        <v>7.6194219654709874E-3</v>
      </c>
      <c r="AL34" s="98">
        <f t="shared" ref="AL34" si="9">-AH34*AF34*(7.1-$O$27)^(AF34-1)*($O$26-1.222)^AG34</f>
        <v>7.6194219654709874E-3</v>
      </c>
      <c r="AM34" s="98">
        <f t="shared" ref="AM34" si="10">-AH34*AF34*(7.1-$P$27)^(AF34-1)*($P$26-1.222)^AG34</f>
        <v>7.6194219654709874E-3</v>
      </c>
    </row>
    <row r="35" spans="2:93" ht="15.75" x14ac:dyDescent="0.2">
      <c r="B35" s="197" t="s">
        <v>80</v>
      </c>
      <c r="C35" s="197"/>
      <c r="D35" s="197"/>
      <c r="E35" s="197"/>
      <c r="F35" s="197"/>
      <c r="G35" s="197"/>
      <c r="H35" s="197"/>
      <c r="L35" s="39" t="s">
        <v>272</v>
      </c>
      <c r="N35" s="15"/>
      <c r="O35" s="15"/>
      <c r="P35" s="15"/>
      <c r="Q35" s="15"/>
      <c r="R35" s="20" t="s">
        <v>192</v>
      </c>
      <c r="S35" s="20">
        <v>200</v>
      </c>
      <c r="T35" s="21">
        <v>65</v>
      </c>
      <c r="U35"/>
      <c r="V35" s="30">
        <v>12</v>
      </c>
      <c r="W35" s="168" t="s">
        <v>29</v>
      </c>
      <c r="X35" s="166">
        <v>20</v>
      </c>
      <c r="Y35" s="166">
        <f t="shared" si="0"/>
        <v>40</v>
      </c>
      <c r="Z35" s="166" t="str">
        <f t="shared" si="1"/>
        <v>46,4</v>
      </c>
      <c r="AA35" s="166">
        <v>50</v>
      </c>
      <c r="AB35" s="166">
        <v>45</v>
      </c>
      <c r="AC35" s="165"/>
      <c r="AE35" s="87">
        <v>12</v>
      </c>
      <c r="AF35" s="87">
        <v>1</v>
      </c>
      <c r="AG35" s="87">
        <v>0</v>
      </c>
      <c r="AH35" s="88">
        <v>-3.2529748770504997E-2</v>
      </c>
      <c r="AI35" s="89"/>
      <c r="AJ35" s="98">
        <f t="shared" si="2"/>
        <v>3.2529748770504997E-2</v>
      </c>
      <c r="AK35" s="98">
        <f t="shared" si="3"/>
        <v>3.2529748770504997E-2</v>
      </c>
      <c r="AL35" s="98">
        <f t="shared" si="4"/>
        <v>3.2529748770504997E-2</v>
      </c>
      <c r="AM35" s="98">
        <f t="shared" si="5"/>
        <v>3.2529748770504997E-2</v>
      </c>
    </row>
    <row r="36" spans="2:93" ht="15" x14ac:dyDescent="0.2">
      <c r="B36" s="125" t="s">
        <v>22</v>
      </c>
      <c r="C36" s="123" t="s">
        <v>75</v>
      </c>
      <c r="D36" s="123" t="s">
        <v>20</v>
      </c>
      <c r="E36" s="126">
        <f>VLOOKUP(E30,DyPRAM,3,FALSE)</f>
        <v>15</v>
      </c>
      <c r="F36" s="126">
        <f>VLOOKUP(F30,DyPRAM,3,FALSE)</f>
        <v>15</v>
      </c>
      <c r="G36" s="126">
        <f>VLOOKUP(G30,DyPRAM,3,FALSE)</f>
        <v>15</v>
      </c>
      <c r="H36" s="126">
        <f>VLOOKUP(H30,DyPRAM,3,FALSE)</f>
        <v>15</v>
      </c>
      <c r="L36" s="32" t="b">
        <f>AND(IF(VLOOKUP(E30,DyPRAM,3,FALSE)=VLOOKUP(E31,ParamKM,2,FALSE),TRUE,FALSE),IF(VLOOKUP(E30,DyPRAM,3,FALSE)=VLOOKUP(E32,ParamKM,2,FALSE),TRUE,FALSE),IF(E34=L34,TRUE,IF(E34&lt;L34,FALSE,IF(E34&gt;L34*2,FALSE,TRUE))))</f>
        <v>1</v>
      </c>
      <c r="M36" s="32" t="b">
        <f>AND(IF(VLOOKUP(F30,DyPRAM,3,FALSE)=VLOOKUP(F31,ParamKM,2,FALSE),TRUE,FALSE),IF(VLOOKUP(F30,DyPRAM,3,FALSE)=VLOOKUP(F32,ParamKM,2,FALSE),TRUE,FALSE),IF(F34=M34,TRUE,IF(F34&lt;M34,FALSE,IF(F34&gt;M34*2,FALSE,TRUE))))</f>
        <v>1</v>
      </c>
      <c r="N36" s="32" t="b">
        <f>AND(IF(VLOOKUP(G30,DyPRAM,3,FALSE)=VLOOKUP(G31,ParamKM,2,FALSE),TRUE,FALSE),IF(VLOOKUP(G30,DyPRAM,3,FALSE)=VLOOKUP(G32,ParamKM,2,FALSE),TRUE,FALSE),IF(G34=N34,TRUE,IF(G34&lt;N34,FALSE,IF(G34&gt;N34*2,FALSE,TRUE))))</f>
        <v>1</v>
      </c>
      <c r="O36" s="32" t="b">
        <f>AND(IF(VLOOKUP(H30,DyPRAM,3,FALSE)=VLOOKUP(H31,ParamKM,2,FALSE),TRUE,FALSE),IF(VLOOKUP(H30,DyPRAM,3,FALSE)=VLOOKUP(H32,ParamKM,2,FALSE),TRUE,FALSE),IF(H34=O34,TRUE,IF(H34&lt;O34,FALSE,IF(H34&gt;O34*2,FALSE,TRUE))))</f>
        <v>1</v>
      </c>
      <c r="P36" s="15"/>
      <c r="Q36" s="15"/>
      <c r="R36" s="20" t="s">
        <v>193</v>
      </c>
      <c r="S36" s="20">
        <v>186</v>
      </c>
      <c r="T36" s="21">
        <v>80</v>
      </c>
      <c r="V36" s="30">
        <v>13</v>
      </c>
      <c r="W36" s="168" t="s">
        <v>212</v>
      </c>
      <c r="X36" s="166">
        <v>20</v>
      </c>
      <c r="Y36" s="166">
        <f t="shared" si="0"/>
        <v>40</v>
      </c>
      <c r="Z36" s="166" t="str">
        <f t="shared" si="1"/>
        <v>22,14</v>
      </c>
      <c r="AA36" s="166">
        <v>65</v>
      </c>
      <c r="AB36" s="166">
        <v>125</v>
      </c>
      <c r="AC36" s="165"/>
      <c r="AE36" s="87">
        <v>13</v>
      </c>
      <c r="AF36" s="87">
        <v>1</v>
      </c>
      <c r="AG36" s="87">
        <v>1</v>
      </c>
      <c r="AH36" s="88">
        <v>-2.1841717175413999E-2</v>
      </c>
      <c r="AI36" s="89"/>
      <c r="AJ36" s="98">
        <f t="shared" si="2"/>
        <v>5.4436635882376523E-2</v>
      </c>
      <c r="AK36" s="98">
        <f t="shared" si="3"/>
        <v>5.4436635882376523E-2</v>
      </c>
      <c r="AL36" s="98">
        <f t="shared" si="4"/>
        <v>5.4436635882376523E-2</v>
      </c>
      <c r="AM36" s="98">
        <f t="shared" si="5"/>
        <v>5.4436635882376523E-2</v>
      </c>
    </row>
    <row r="37" spans="2:93" ht="15" x14ac:dyDescent="0.2">
      <c r="B37" s="125" t="s">
        <v>24</v>
      </c>
      <c r="C37" s="123" t="s">
        <v>76</v>
      </c>
      <c r="D37" s="123" t="s">
        <v>20</v>
      </c>
      <c r="E37" s="126">
        <f t="shared" ref="E37:H38" si="11">VLOOKUP(E31,ParamKM,5,FALSE)</f>
        <v>15</v>
      </c>
      <c r="F37" s="126">
        <f t="shared" si="11"/>
        <v>15</v>
      </c>
      <c r="G37" s="126">
        <f t="shared" si="11"/>
        <v>15</v>
      </c>
      <c r="H37" s="126">
        <f t="shared" si="11"/>
        <v>15</v>
      </c>
      <c r="L37" s="32" t="b">
        <f>IF(VLOOKUP(E30,DyPRAM,3,FALSE)=VLOOKUP(E31,ParamKM,2,FALSE),TRUE,FALSE)</f>
        <v>1</v>
      </c>
      <c r="M37" s="32" t="b">
        <f>IF(VLOOKUP(F30,DyPRAM,3,FALSE)=VLOOKUP(F31,ParamKM,2,FALSE),TRUE,FALSE)</f>
        <v>1</v>
      </c>
      <c r="N37" s="32" t="b">
        <f>IF(VLOOKUP(G30,DyPRAM,3,FALSE)=VLOOKUP(G31,ParamKM,2,FALSE),TRUE,FALSE)</f>
        <v>1</v>
      </c>
      <c r="O37" s="32" t="b">
        <f>IF(VLOOKUP(H30,DyPRAM,3,FALSE)=VLOOKUP(H31,ParamKM,2,FALSE),TRUE,FALSE)</f>
        <v>1</v>
      </c>
      <c r="P37" s="15"/>
      <c r="Q37" s="15"/>
      <c r="R37" s="20" t="s">
        <v>194</v>
      </c>
      <c r="S37" s="20">
        <v>200</v>
      </c>
      <c r="T37" s="21">
        <v>80</v>
      </c>
      <c r="V37" s="30">
        <v>14</v>
      </c>
      <c r="W37" s="168" t="s">
        <v>210</v>
      </c>
      <c r="X37" s="166">
        <v>20</v>
      </c>
      <c r="Y37" s="166">
        <f t="shared" si="0"/>
        <v>40</v>
      </c>
      <c r="Z37" s="166" t="str">
        <f t="shared" si="1"/>
        <v>29,24</v>
      </c>
      <c r="AA37" s="166">
        <v>80</v>
      </c>
      <c r="AB37" s="166">
        <v>125</v>
      </c>
      <c r="AC37" s="165"/>
      <c r="AE37" s="87">
        <v>14</v>
      </c>
      <c r="AF37" s="87">
        <v>1</v>
      </c>
      <c r="AG37" s="87">
        <v>3</v>
      </c>
      <c r="AH37" s="88">
        <v>-5.2838357969930002E-5</v>
      </c>
      <c r="AI37" s="89"/>
      <c r="AJ37" s="98">
        <f t="shared" si="2"/>
        <v>8.1801790678566022E-4</v>
      </c>
      <c r="AK37" s="98">
        <f t="shared" si="3"/>
        <v>8.1801790678566022E-4</v>
      </c>
      <c r="AL37" s="98">
        <f t="shared" si="4"/>
        <v>8.1801790678566022E-4</v>
      </c>
      <c r="AM37" s="98">
        <f t="shared" si="5"/>
        <v>8.1801790678566022E-4</v>
      </c>
    </row>
    <row r="38" spans="2:93" ht="15" x14ac:dyDescent="0.2">
      <c r="B38" s="125" t="s">
        <v>26</v>
      </c>
      <c r="C38" s="123" t="s">
        <v>77</v>
      </c>
      <c r="D38" s="123" t="s">
        <v>20</v>
      </c>
      <c r="E38" s="123">
        <f t="shared" si="11"/>
        <v>15</v>
      </c>
      <c r="F38" s="123">
        <f t="shared" si="11"/>
        <v>15</v>
      </c>
      <c r="G38" s="123">
        <f t="shared" si="11"/>
        <v>15</v>
      </c>
      <c r="H38" s="123">
        <f t="shared" si="11"/>
        <v>15</v>
      </c>
      <c r="L38" s="39" t="b">
        <f>IF(VLOOKUP(E30,DyPRAM,3,FALSE)=VLOOKUP(E32,ParamKM,2,FALSE),TRUE,FALSE)</f>
        <v>1</v>
      </c>
      <c r="M38" s="39" t="b">
        <f>IF(VLOOKUP(F30,DyPRAM,3,FALSE)=VLOOKUP(F32,ParamKM,2,FALSE),TRUE,FALSE)</f>
        <v>1</v>
      </c>
      <c r="N38" s="39" t="b">
        <f>IF(VLOOKUP(G30,DyPRAM,3,FALSE)=VLOOKUP(G32,ParamKM,2,FALSE),TRUE,FALSE)</f>
        <v>1</v>
      </c>
      <c r="O38" s="39" t="b">
        <f>IF(VLOOKUP(H30,DyPRAM,3,FALSE)=VLOOKUP(H32,ParamKM,2,FALSE),TRUE,FALSE)</f>
        <v>1</v>
      </c>
      <c r="P38" s="15"/>
      <c r="Q38" s="15"/>
      <c r="R38" s="20" t="s">
        <v>195</v>
      </c>
      <c r="S38" s="20">
        <v>217</v>
      </c>
      <c r="T38" s="21">
        <v>100</v>
      </c>
      <c r="V38" s="30">
        <v>15</v>
      </c>
      <c r="W38" s="168" t="s">
        <v>211</v>
      </c>
      <c r="X38" s="166">
        <v>25</v>
      </c>
      <c r="Y38" s="166">
        <f t="shared" si="0"/>
        <v>0</v>
      </c>
      <c r="Z38" s="166" t="str">
        <f t="shared" si="1"/>
        <v>0</v>
      </c>
      <c r="AA38" s="166">
        <v>25</v>
      </c>
      <c r="AB38" s="166">
        <v>0</v>
      </c>
      <c r="AC38" s="165"/>
      <c r="AE38" s="87">
        <v>15</v>
      </c>
      <c r="AF38" s="87">
        <v>2</v>
      </c>
      <c r="AG38" s="87">
        <v>-3</v>
      </c>
      <c r="AH38" s="88">
        <v>-4.7184321073266998E-4</v>
      </c>
      <c r="AI38" s="89"/>
      <c r="AJ38" s="98">
        <f t="shared" si="2"/>
        <v>4.3025395978645286E-4</v>
      </c>
      <c r="AK38" s="98">
        <f t="shared" si="3"/>
        <v>4.3025395978645286E-4</v>
      </c>
      <c r="AL38" s="98">
        <f t="shared" si="4"/>
        <v>4.3025395978645286E-4</v>
      </c>
      <c r="AM38" s="98">
        <f t="shared" si="5"/>
        <v>4.3025395978645286E-4</v>
      </c>
    </row>
    <row r="39" spans="2:93" ht="15.75" x14ac:dyDescent="0.2">
      <c r="B39" s="125" t="s">
        <v>30</v>
      </c>
      <c r="C39" s="124" t="s">
        <v>163</v>
      </c>
      <c r="D39" s="123" t="s">
        <v>31</v>
      </c>
      <c r="E39" s="127" t="str">
        <f t="shared" ref="E39:H40" si="12">VLOOKUP(E31,ParamKM,4,FALSE)</f>
        <v>0</v>
      </c>
      <c r="F39" s="127" t="str">
        <f t="shared" si="12"/>
        <v>0</v>
      </c>
      <c r="G39" s="127" t="str">
        <f t="shared" si="12"/>
        <v>0</v>
      </c>
      <c r="H39" s="127" t="str">
        <f t="shared" si="12"/>
        <v>0</v>
      </c>
      <c r="L39" s="32"/>
      <c r="N39" s="15"/>
      <c r="O39" s="15"/>
      <c r="P39" s="15"/>
      <c r="Q39" s="15"/>
      <c r="R39" s="20" t="s">
        <v>196</v>
      </c>
      <c r="S39" s="20">
        <v>250</v>
      </c>
      <c r="T39" s="21">
        <v>100</v>
      </c>
      <c r="V39" s="30">
        <v>16</v>
      </c>
      <c r="W39" s="168" t="s">
        <v>213</v>
      </c>
      <c r="X39" s="166">
        <v>25</v>
      </c>
      <c r="Y39" s="166">
        <f t="shared" si="0"/>
        <v>50</v>
      </c>
      <c r="Z39" s="166" t="str">
        <f t="shared" si="1"/>
        <v>19,86</v>
      </c>
      <c r="AA39" s="166">
        <v>32</v>
      </c>
      <c r="AB39" s="166">
        <v>30</v>
      </c>
      <c r="AC39" s="165"/>
      <c r="AE39" s="87">
        <v>16</v>
      </c>
      <c r="AF39" s="87">
        <v>2</v>
      </c>
      <c r="AG39" s="87">
        <v>0</v>
      </c>
      <c r="AH39" s="88">
        <v>-3.0001780793025999E-4</v>
      </c>
      <c r="AI39" s="89"/>
      <c r="AJ39" s="98">
        <f t="shared" si="2"/>
        <v>4.2353343154978044E-3</v>
      </c>
      <c r="AK39" s="98">
        <f t="shared" si="3"/>
        <v>4.2353343154978044E-3</v>
      </c>
      <c r="AL39" s="98">
        <f t="shared" si="4"/>
        <v>4.2353343154978044E-3</v>
      </c>
      <c r="AM39" s="98">
        <f t="shared" si="5"/>
        <v>4.2353343154978044E-3</v>
      </c>
    </row>
    <row r="40" spans="2:93" ht="15.75" x14ac:dyDescent="0.2">
      <c r="B40" s="125" t="s">
        <v>33</v>
      </c>
      <c r="C40" s="124" t="s">
        <v>164</v>
      </c>
      <c r="D40" s="123" t="s">
        <v>31</v>
      </c>
      <c r="E40" s="127" t="str">
        <f t="shared" si="12"/>
        <v>0</v>
      </c>
      <c r="F40" s="127" t="str">
        <f t="shared" si="12"/>
        <v>0</v>
      </c>
      <c r="G40" s="127" t="str">
        <f t="shared" si="12"/>
        <v>0</v>
      </c>
      <c r="H40" s="127" t="str">
        <f t="shared" si="12"/>
        <v>0</v>
      </c>
      <c r="L40" s="39"/>
      <c r="N40" s="15"/>
      <c r="O40" s="15"/>
      <c r="P40" s="15"/>
      <c r="Q40" s="15"/>
      <c r="R40" s="20" t="s">
        <v>197</v>
      </c>
      <c r="S40" s="20">
        <v>314</v>
      </c>
      <c r="T40" s="21">
        <v>150</v>
      </c>
      <c r="V40" s="30">
        <v>17</v>
      </c>
      <c r="W40" s="168" t="s">
        <v>214</v>
      </c>
      <c r="X40" s="166">
        <v>25</v>
      </c>
      <c r="Y40" s="166">
        <f t="shared" si="0"/>
        <v>50</v>
      </c>
      <c r="Z40" s="166" t="str">
        <f t="shared" si="1"/>
        <v>41,12</v>
      </c>
      <c r="AA40" s="166">
        <v>40</v>
      </c>
      <c r="AB40" s="166">
        <v>30</v>
      </c>
      <c r="AC40" s="165"/>
      <c r="AE40" s="87">
        <v>17</v>
      </c>
      <c r="AF40" s="87">
        <v>2</v>
      </c>
      <c r="AG40" s="87">
        <v>1</v>
      </c>
      <c r="AH40" s="88">
        <v>4.7661393906987001E-5</v>
      </c>
      <c r="AI40" s="89"/>
      <c r="AJ40" s="98">
        <f t="shared" si="2"/>
        <v>-1.6769182928291085E-3</v>
      </c>
      <c r="AK40" s="98">
        <f t="shared" si="3"/>
        <v>-1.6769182928291085E-3</v>
      </c>
      <c r="AL40" s="98">
        <f t="shared" si="4"/>
        <v>-1.6769182928291085E-3</v>
      </c>
      <c r="AM40" s="98">
        <f t="shared" si="5"/>
        <v>-1.6769182928291085E-3</v>
      </c>
    </row>
    <row r="41" spans="2:93" ht="15" x14ac:dyDescent="0.2">
      <c r="B41" s="196" t="s">
        <v>145</v>
      </c>
      <c r="C41" s="196"/>
      <c r="D41" s="196"/>
      <c r="E41" s="196"/>
      <c r="F41" s="196"/>
      <c r="G41" s="196"/>
      <c r="H41" s="196"/>
      <c r="L41" s="39"/>
      <c r="N41" s="15"/>
      <c r="O41" s="15"/>
      <c r="P41" s="15"/>
      <c r="Q41" s="15"/>
      <c r="R41" s="20" t="s">
        <v>198</v>
      </c>
      <c r="S41" s="20">
        <v>358</v>
      </c>
      <c r="T41" s="21">
        <v>200</v>
      </c>
      <c r="V41" s="30">
        <v>18</v>
      </c>
      <c r="W41" s="168" t="s">
        <v>215</v>
      </c>
      <c r="X41" s="166">
        <v>25</v>
      </c>
      <c r="Y41" s="166">
        <f t="shared" si="0"/>
        <v>50</v>
      </c>
      <c r="Z41" s="166" t="str">
        <f t="shared" si="1"/>
        <v>39,3</v>
      </c>
      <c r="AA41" s="166">
        <v>50</v>
      </c>
      <c r="AB41" s="166">
        <v>45</v>
      </c>
      <c r="AC41" s="165"/>
      <c r="AE41" s="87">
        <v>18</v>
      </c>
      <c r="AF41" s="87">
        <v>2</v>
      </c>
      <c r="AG41" s="87">
        <v>3</v>
      </c>
      <c r="AH41" s="88">
        <v>-4.4141845330845997E-6</v>
      </c>
      <c r="AI41" s="89"/>
      <c r="AJ41" s="98">
        <f t="shared" si="2"/>
        <v>9.6472747228407152E-4</v>
      </c>
      <c r="AK41" s="98">
        <f t="shared" si="3"/>
        <v>9.6472747228407152E-4</v>
      </c>
      <c r="AL41" s="98">
        <f t="shared" si="4"/>
        <v>9.6472747228407152E-4</v>
      </c>
      <c r="AM41" s="98">
        <f t="shared" si="5"/>
        <v>9.6472747228407152E-4</v>
      </c>
    </row>
    <row r="42" spans="2:93" ht="15.75" x14ac:dyDescent="0.2">
      <c r="B42" s="125" t="s">
        <v>118</v>
      </c>
      <c r="C42" s="124" t="s">
        <v>34</v>
      </c>
      <c r="D42" s="123" t="s">
        <v>35</v>
      </c>
      <c r="E42" s="148">
        <f>1/M28*1000</f>
        <v>958.62831880653948</v>
      </c>
      <c r="F42" s="148">
        <f>1/N28*1000</f>
        <v>958.62831880653948</v>
      </c>
      <c r="G42" s="148">
        <f>1/O28*1000</f>
        <v>958.62831880653948</v>
      </c>
      <c r="H42" s="148">
        <f>1/P28*1000</f>
        <v>958.62831880653948</v>
      </c>
      <c r="L42" s="39"/>
      <c r="N42" s="15"/>
      <c r="O42" s="15"/>
      <c r="P42" s="15"/>
      <c r="Q42" s="15"/>
      <c r="R42" s="20" t="s">
        <v>199</v>
      </c>
      <c r="S42" s="20">
        <v>400</v>
      </c>
      <c r="T42" s="21">
        <v>250</v>
      </c>
      <c r="V42" s="173">
        <v>19</v>
      </c>
      <c r="W42" s="168" t="s">
        <v>216</v>
      </c>
      <c r="X42" s="166">
        <v>25</v>
      </c>
      <c r="Y42" s="166">
        <f t="shared" si="0"/>
        <v>50</v>
      </c>
      <c r="Z42" s="166" t="str">
        <f t="shared" si="1"/>
        <v>21,56</v>
      </c>
      <c r="AA42" s="166">
        <v>65</v>
      </c>
      <c r="AB42" s="166">
        <v>115</v>
      </c>
      <c r="AC42" s="165"/>
      <c r="AE42" s="87">
        <v>19</v>
      </c>
      <c r="AF42" s="87">
        <v>2</v>
      </c>
      <c r="AG42" s="87">
        <v>17</v>
      </c>
      <c r="AH42" s="88">
        <v>-7.2694996297594001E-16</v>
      </c>
      <c r="AI42" s="89"/>
      <c r="AJ42" s="98">
        <f t="shared" si="2"/>
        <v>5.6691985858232219E-8</v>
      </c>
      <c r="AK42" s="98">
        <f t="shared" si="3"/>
        <v>5.6691985858232219E-8</v>
      </c>
      <c r="AL42" s="98">
        <f t="shared" si="4"/>
        <v>5.6691985858232219E-8</v>
      </c>
      <c r="AM42" s="98">
        <f t="shared" si="5"/>
        <v>5.6691985858232219E-8</v>
      </c>
    </row>
    <row r="43" spans="2:93" ht="15" x14ac:dyDescent="0.2">
      <c r="B43" s="125" t="s">
        <v>36</v>
      </c>
      <c r="C43" s="123" t="s">
        <v>37</v>
      </c>
      <c r="D43" s="123" t="s">
        <v>38</v>
      </c>
      <c r="E43" s="128">
        <f>E26*1000/E42</f>
        <v>4.1726286627750238</v>
      </c>
      <c r="F43" s="128">
        <f>F26*1000/F42</f>
        <v>4.1726286627750238</v>
      </c>
      <c r="G43" s="128">
        <f>G26*1000/G42</f>
        <v>4.1726286627750238</v>
      </c>
      <c r="H43" s="128">
        <f>H26*1000/H42</f>
        <v>4.1726286627750238</v>
      </c>
      <c r="L43" s="39"/>
      <c r="N43" s="15"/>
      <c r="O43" s="15"/>
      <c r="P43" s="15"/>
      <c r="Q43" s="15"/>
      <c r="R43" s="20" t="s">
        <v>200</v>
      </c>
      <c r="S43" s="20">
        <v>438</v>
      </c>
      <c r="T43" s="21">
        <v>300</v>
      </c>
      <c r="V43" s="173">
        <v>20</v>
      </c>
      <c r="W43" s="168" t="s">
        <v>217</v>
      </c>
      <c r="X43" s="166">
        <v>25</v>
      </c>
      <c r="Y43" s="166">
        <f t="shared" si="0"/>
        <v>50</v>
      </c>
      <c r="Z43" s="166" t="str">
        <f t="shared" si="1"/>
        <v>28,08</v>
      </c>
      <c r="AA43" s="166">
        <v>80</v>
      </c>
      <c r="AB43" s="166">
        <v>120</v>
      </c>
      <c r="AC43" s="165"/>
      <c r="AE43" s="87">
        <v>20</v>
      </c>
      <c r="AF43" s="87">
        <v>3</v>
      </c>
      <c r="AG43" s="87">
        <v>-4</v>
      </c>
      <c r="AH43" s="88">
        <v>-3.1679644845054002E-5</v>
      </c>
      <c r="AI43" s="89"/>
      <c r="AJ43" s="98">
        <f t="shared" si="2"/>
        <v>1.2271704731643237E-4</v>
      </c>
      <c r="AK43" s="98">
        <f t="shared" si="3"/>
        <v>1.2271704731643237E-4</v>
      </c>
      <c r="AL43" s="98">
        <f t="shared" si="4"/>
        <v>1.2271704731643237E-4</v>
      </c>
      <c r="AM43" s="98">
        <f t="shared" si="5"/>
        <v>1.2271704731643237E-4</v>
      </c>
    </row>
    <row r="44" spans="2:93" ht="15" x14ac:dyDescent="0.2">
      <c r="B44" s="125" t="s">
        <v>39</v>
      </c>
      <c r="C44" s="123" t="s">
        <v>40</v>
      </c>
      <c r="D44" s="123" t="s">
        <v>41</v>
      </c>
      <c r="E44" s="128">
        <f>(E43/3.6)/((PI()*E36^2)/4000)</f>
        <v>6.5589578011611875</v>
      </c>
      <c r="F44" s="128">
        <f>(F43/3.6)/((PI()*F36^2)/4000)</f>
        <v>6.5589578011611875</v>
      </c>
      <c r="G44" s="128">
        <f>(G43/3.6)/((PI()*G36^2)/4000)</f>
        <v>6.5589578011611875</v>
      </c>
      <c r="H44" s="128">
        <f>(H43/3.6)/((PI()*H36^2)/4000)</f>
        <v>6.5589578011611875</v>
      </c>
      <c r="L44" s="39"/>
      <c r="N44" s="15"/>
      <c r="O44" s="15"/>
      <c r="P44" s="15"/>
      <c r="Q44" s="15"/>
      <c r="V44" s="173">
        <v>21</v>
      </c>
      <c r="W44" s="168" t="s">
        <v>218</v>
      </c>
      <c r="X44" s="166">
        <v>25</v>
      </c>
      <c r="Y44" s="166">
        <f t="shared" si="0"/>
        <v>50</v>
      </c>
      <c r="Z44" s="166" t="str">
        <f t="shared" si="1"/>
        <v>36,12</v>
      </c>
      <c r="AA44" s="166">
        <v>100</v>
      </c>
      <c r="AB44" s="166">
        <v>125</v>
      </c>
      <c r="AC44" s="165"/>
      <c r="AE44" s="87">
        <v>21</v>
      </c>
      <c r="AF44" s="87">
        <v>3</v>
      </c>
      <c r="AG44" s="87">
        <v>0</v>
      </c>
      <c r="AH44" s="88">
        <v>-2.8270797985312E-6</v>
      </c>
      <c r="AI44" s="89"/>
      <c r="AJ44" s="98">
        <f t="shared" si="2"/>
        <v>4.2255248246437864E-4</v>
      </c>
      <c r="AK44" s="98">
        <f t="shared" si="3"/>
        <v>4.2255248246437864E-4</v>
      </c>
      <c r="AL44" s="98">
        <f t="shared" si="4"/>
        <v>4.2255248246437864E-4</v>
      </c>
      <c r="AM44" s="98">
        <f t="shared" si="5"/>
        <v>4.2255248246437864E-4</v>
      </c>
    </row>
    <row r="45" spans="2:93" ht="15" x14ac:dyDescent="0.2">
      <c r="B45" s="125" t="s">
        <v>43</v>
      </c>
      <c r="C45" s="123" t="s">
        <v>44</v>
      </c>
      <c r="D45" s="123" t="s">
        <v>41</v>
      </c>
      <c r="E45" s="128">
        <f>(E43/3.6)/((PI()*E37^2)/4000)</f>
        <v>6.5589578011611875</v>
      </c>
      <c r="F45" s="128">
        <f>(F43/3.6)/((PI()*F37^2)/4000)</f>
        <v>6.5589578011611875</v>
      </c>
      <c r="G45" s="128">
        <f>(G43/3.6)/((PI()*G37^2)/4000)</f>
        <v>6.5589578011611875</v>
      </c>
      <c r="H45" s="128">
        <f>(H43/3.6)/((PI()*H37^2)/4000)</f>
        <v>6.5589578011611875</v>
      </c>
      <c r="L45" s="39"/>
      <c r="N45" s="15"/>
      <c r="O45" s="15"/>
      <c r="P45" s="15"/>
      <c r="Q45" s="15"/>
      <c r="V45" s="173">
        <v>22</v>
      </c>
      <c r="W45" s="168" t="s">
        <v>219</v>
      </c>
      <c r="X45" s="166">
        <v>32</v>
      </c>
      <c r="Y45" s="166">
        <f t="shared" si="0"/>
        <v>0</v>
      </c>
      <c r="Z45" s="166" t="str">
        <f t="shared" si="1"/>
        <v>0</v>
      </c>
      <c r="AA45" s="166">
        <v>32</v>
      </c>
      <c r="AB45" s="166">
        <v>0</v>
      </c>
      <c r="AC45" s="165"/>
      <c r="AE45" s="87">
        <v>22</v>
      </c>
      <c r="AF45" s="87">
        <v>3</v>
      </c>
      <c r="AG45" s="87">
        <v>6</v>
      </c>
      <c r="AH45" s="88">
        <v>-8.5205128120103004E-10</v>
      </c>
      <c r="AI45" s="89"/>
      <c r="AJ45" s="98">
        <f t="shared" si="2"/>
        <v>3.0523569506162449E-5</v>
      </c>
      <c r="AK45" s="98">
        <f t="shared" si="3"/>
        <v>3.0523569506162449E-5</v>
      </c>
      <c r="AL45" s="98">
        <f t="shared" si="4"/>
        <v>3.0523569506162449E-5</v>
      </c>
      <c r="AM45" s="98">
        <f t="shared" si="5"/>
        <v>3.0523569506162449E-5</v>
      </c>
    </row>
    <row r="46" spans="2:93" ht="15" x14ac:dyDescent="0.2">
      <c r="B46" s="125" t="s">
        <v>45</v>
      </c>
      <c r="C46" s="123" t="s">
        <v>46</v>
      </c>
      <c r="D46" s="123" t="s">
        <v>41</v>
      </c>
      <c r="E46" s="128">
        <f>(E43/3.6)/((PI()*E38^2)/4000)</f>
        <v>6.5589578011611875</v>
      </c>
      <c r="F46" s="128">
        <f>(F43/3.6)/((PI()*F38^2)/4000)</f>
        <v>6.5589578011611875</v>
      </c>
      <c r="G46" s="128">
        <f>(G43/3.6)/((PI()*G38^2)/4000)</f>
        <v>6.5589578011611875</v>
      </c>
      <c r="H46" s="128">
        <f>(H43/3.6)/((PI()*H38^2)/4000)</f>
        <v>6.5589578011611875</v>
      </c>
      <c r="N46" s="15"/>
      <c r="O46" s="15"/>
      <c r="P46" s="15"/>
      <c r="Q46" s="15"/>
      <c r="V46" s="173">
        <v>23</v>
      </c>
      <c r="W46" s="168" t="s">
        <v>32</v>
      </c>
      <c r="X46" s="166">
        <v>32</v>
      </c>
      <c r="Y46" s="166">
        <f t="shared" si="0"/>
        <v>64</v>
      </c>
      <c r="Z46" s="166" t="str">
        <f t="shared" si="1"/>
        <v>22,62</v>
      </c>
      <c r="AA46" s="166">
        <v>40</v>
      </c>
      <c r="AB46" s="166">
        <v>30</v>
      </c>
      <c r="AC46" s="165"/>
      <c r="AE46" s="87">
        <v>23</v>
      </c>
      <c r="AF46" s="87">
        <v>4</v>
      </c>
      <c r="AG46" s="87">
        <v>-5</v>
      </c>
      <c r="AH46" s="88">
        <v>-2.2425281907999999E-6</v>
      </c>
      <c r="AI46" s="89"/>
      <c r="AJ46" s="98">
        <f t="shared" si="2"/>
        <v>3.2802535139515019E-5</v>
      </c>
      <c r="AK46" s="98">
        <f t="shared" si="3"/>
        <v>3.2802535139515019E-5</v>
      </c>
      <c r="AL46" s="98">
        <f t="shared" si="4"/>
        <v>3.2802535139515019E-5</v>
      </c>
      <c r="AM46" s="98">
        <f t="shared" si="5"/>
        <v>3.2802535139515019E-5</v>
      </c>
    </row>
    <row r="47" spans="2:93" ht="18" x14ac:dyDescent="0.2">
      <c r="B47" s="125" t="s">
        <v>48</v>
      </c>
      <c r="C47" s="124" t="s">
        <v>49</v>
      </c>
      <c r="D47" s="123" t="s">
        <v>165</v>
      </c>
      <c r="E47" s="149">
        <f>0.00000178/(1+0.0337*$E$27+0.000221*$E$27^2)</f>
        <v>2.7051671732522795E-7</v>
      </c>
      <c r="F47" s="149">
        <f>0.00000178/(1+0.0337*$F$27+0.000221*$F$27^2)</f>
        <v>2.7051671732522795E-7</v>
      </c>
      <c r="G47" s="149">
        <f>0.00000178/(1+0.0337*$G$27+0.000221*$G$27^2)</f>
        <v>2.7051671732522795E-7</v>
      </c>
      <c r="H47" s="149">
        <f>0.00000178/(1+0.0337*$H$27+0.000221*$H$27^2)</f>
        <v>2.7051671732522795E-7</v>
      </c>
      <c r="I47" s="32"/>
      <c r="J47" s="32"/>
      <c r="N47" s="15"/>
      <c r="O47" s="15"/>
      <c r="P47" s="15"/>
      <c r="Q47" s="15"/>
      <c r="V47" s="173">
        <v>24</v>
      </c>
      <c r="W47" s="168" t="s">
        <v>220</v>
      </c>
      <c r="X47" s="166">
        <v>32</v>
      </c>
      <c r="Y47" s="166">
        <f t="shared" si="0"/>
        <v>64</v>
      </c>
      <c r="Z47" s="166" t="str">
        <f t="shared" si="1"/>
        <v>28,84</v>
      </c>
      <c r="AA47" s="166">
        <v>50</v>
      </c>
      <c r="AB47" s="166">
        <v>45</v>
      </c>
      <c r="AC47" s="165"/>
      <c r="AE47" s="87">
        <v>24</v>
      </c>
      <c r="AF47" s="87">
        <v>4</v>
      </c>
      <c r="AG47" s="87">
        <v>-2</v>
      </c>
      <c r="AH47" s="88">
        <v>-6.5171222895601002E-7</v>
      </c>
      <c r="AI47" s="89"/>
      <c r="AJ47" s="98">
        <f t="shared" si="2"/>
        <v>1.475838604649248E-4</v>
      </c>
      <c r="AK47" s="98">
        <f t="shared" si="3"/>
        <v>1.475838604649248E-4</v>
      </c>
      <c r="AL47" s="98">
        <f t="shared" si="4"/>
        <v>1.475838604649248E-4</v>
      </c>
      <c r="AM47" s="98">
        <f t="shared" si="5"/>
        <v>1.475838604649248E-4</v>
      </c>
    </row>
    <row r="48" spans="2:93" ht="15" x14ac:dyDescent="0.2">
      <c r="B48" s="125" t="s">
        <v>50</v>
      </c>
      <c r="C48" s="123" t="s">
        <v>51</v>
      </c>
      <c r="D48" s="123"/>
      <c r="E48" s="150">
        <f>E44*$E$36/$E$47/1000</f>
        <v>363690.52526663442</v>
      </c>
      <c r="F48" s="150">
        <f>F44*$F$36/$F$47/1000</f>
        <v>363690.52526663442</v>
      </c>
      <c r="G48" s="150">
        <f>G44*$G$36/$G$47/1000</f>
        <v>363690.52526663442</v>
      </c>
      <c r="H48" s="150">
        <f>H44*$H$36/$H$47/1000</f>
        <v>363690.52526663442</v>
      </c>
      <c r="I48" s="3"/>
      <c r="J48" s="3"/>
      <c r="N48" s="22"/>
      <c r="O48" s="22"/>
      <c r="P48" s="22"/>
      <c r="Q48" s="22"/>
      <c r="R48" s="3"/>
      <c r="S48" s="3"/>
      <c r="T48" s="3"/>
      <c r="U48" s="3"/>
      <c r="V48" s="173">
        <v>25</v>
      </c>
      <c r="W48" s="168" t="s">
        <v>221</v>
      </c>
      <c r="X48" s="166">
        <v>32</v>
      </c>
      <c r="Y48" s="166">
        <f t="shared" si="0"/>
        <v>64</v>
      </c>
      <c r="Z48" s="166" t="str">
        <f t="shared" si="1"/>
        <v>40,28</v>
      </c>
      <c r="AA48" s="166">
        <v>65</v>
      </c>
      <c r="AB48" s="166">
        <v>55</v>
      </c>
      <c r="AC48" s="165"/>
      <c r="AD48" s="3"/>
      <c r="AE48" s="87">
        <v>25</v>
      </c>
      <c r="AF48" s="87">
        <v>4</v>
      </c>
      <c r="AG48" s="87">
        <v>10</v>
      </c>
      <c r="AH48" s="88">
        <v>-1.4341729937923999E-13</v>
      </c>
      <c r="AI48" s="89"/>
      <c r="AJ48" s="98">
        <f t="shared" si="2"/>
        <v>1.8656858931289571E-6</v>
      </c>
      <c r="AK48" s="98">
        <f t="shared" si="3"/>
        <v>1.8656858931289571E-6</v>
      </c>
      <c r="AL48" s="98">
        <f t="shared" si="4"/>
        <v>1.8656858931289571E-6</v>
      </c>
      <c r="AM48" s="98">
        <f t="shared" si="5"/>
        <v>1.8656858931289571E-6</v>
      </c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6"/>
    </row>
    <row r="49" spans="2:95" ht="15" x14ac:dyDescent="0.2">
      <c r="B49" s="194" t="s">
        <v>53</v>
      </c>
      <c r="C49" s="194"/>
      <c r="D49" s="194"/>
      <c r="E49" s="194"/>
      <c r="F49" s="194"/>
      <c r="G49" s="194"/>
      <c r="H49" s="194"/>
      <c r="I49" s="4"/>
      <c r="J49" s="4"/>
      <c r="N49" s="23"/>
      <c r="O49" s="23"/>
      <c r="P49" s="23"/>
      <c r="Q49" s="23"/>
      <c r="R49" s="4"/>
      <c r="S49" s="4"/>
      <c r="T49" s="4"/>
      <c r="U49" s="4"/>
      <c r="V49" s="173">
        <v>26</v>
      </c>
      <c r="W49" s="168" t="s">
        <v>222</v>
      </c>
      <c r="X49" s="166">
        <v>32</v>
      </c>
      <c r="Y49" s="166">
        <f t="shared" si="0"/>
        <v>64</v>
      </c>
      <c r="Z49" s="166" t="str">
        <f t="shared" si="1"/>
        <v>24,62</v>
      </c>
      <c r="AA49" s="166">
        <v>80</v>
      </c>
      <c r="AB49" s="166">
        <v>120</v>
      </c>
      <c r="AC49" s="165"/>
      <c r="AD49" s="4"/>
      <c r="AE49" s="87">
        <v>26</v>
      </c>
      <c r="AF49" s="87">
        <v>5</v>
      </c>
      <c r="AG49" s="87">
        <v>-8</v>
      </c>
      <c r="AH49" s="88">
        <v>-4.0516996860117E-7</v>
      </c>
      <c r="AI49" s="89"/>
      <c r="AJ49" s="98">
        <f t="shared" si="2"/>
        <v>3.3776444301278589E-6</v>
      </c>
      <c r="AK49" s="98">
        <f t="shared" si="3"/>
        <v>3.3776444301278589E-6</v>
      </c>
      <c r="AL49" s="98">
        <f t="shared" si="4"/>
        <v>3.3776444301278589E-6</v>
      </c>
      <c r="AM49" s="98">
        <f t="shared" si="5"/>
        <v>3.3776444301278589E-6</v>
      </c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6"/>
    </row>
    <row r="50" spans="2:95" ht="15" x14ac:dyDescent="0.2">
      <c r="B50" s="130" t="s">
        <v>55</v>
      </c>
      <c r="C50" s="122"/>
      <c r="D50" s="123"/>
      <c r="E50" s="122"/>
      <c r="F50" s="122"/>
      <c r="G50" s="122"/>
      <c r="H50" s="122"/>
      <c r="I50" s="5"/>
      <c r="J50" s="5"/>
      <c r="N50" s="24"/>
      <c r="O50" s="24"/>
      <c r="P50" s="24"/>
      <c r="Q50" s="24"/>
      <c r="R50" s="5"/>
      <c r="S50" s="5"/>
      <c r="T50" s="5"/>
      <c r="U50" s="5"/>
      <c r="V50" s="173">
        <v>27</v>
      </c>
      <c r="W50" s="168" t="s">
        <v>223</v>
      </c>
      <c r="X50" s="166">
        <v>32</v>
      </c>
      <c r="Y50" s="166">
        <f t="shared" si="0"/>
        <v>64</v>
      </c>
      <c r="Z50" s="166" t="str">
        <f t="shared" si="1"/>
        <v>32,94</v>
      </c>
      <c r="AA50" s="166">
        <v>100</v>
      </c>
      <c r="AB50" s="166">
        <v>125</v>
      </c>
      <c r="AC50" s="165"/>
      <c r="AD50" s="5"/>
      <c r="AE50" s="87">
        <v>27</v>
      </c>
      <c r="AF50" s="87">
        <v>8</v>
      </c>
      <c r="AG50" s="87">
        <v>-11</v>
      </c>
      <c r="AH50" s="88">
        <v>-1.2734301741640999E-9</v>
      </c>
      <c r="AI50" s="89"/>
      <c r="AJ50" s="98">
        <f t="shared" si="2"/>
        <v>3.8582494718768312E-7</v>
      </c>
      <c r="AK50" s="98">
        <f t="shared" si="3"/>
        <v>3.8582494718768312E-7</v>
      </c>
      <c r="AL50" s="98">
        <f t="shared" si="4"/>
        <v>3.8582494718768312E-7</v>
      </c>
      <c r="AM50" s="98">
        <f t="shared" si="5"/>
        <v>3.8582494718768312E-7</v>
      </c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6"/>
    </row>
    <row r="51" spans="2:95" ht="15" x14ac:dyDescent="0.2">
      <c r="B51" s="125" t="s">
        <v>57</v>
      </c>
      <c r="C51" s="123"/>
      <c r="D51" s="123"/>
      <c r="E51" s="128">
        <f>IF(E36=E37,0,(E54/(8*SIN(RADIANS(E39/2))))*(1-(E36/E37)^4))</f>
        <v>0</v>
      </c>
      <c r="F51" s="128">
        <f t="shared" ref="F51:H51" si="13">IF(F36=F37,0,(F54/(8*SIN(RADIANS(F39/2))))*(1-(F36/F37)^4))</f>
        <v>0</v>
      </c>
      <c r="G51" s="128">
        <f t="shared" si="13"/>
        <v>0</v>
      </c>
      <c r="H51" s="128">
        <f t="shared" si="13"/>
        <v>0</v>
      </c>
      <c r="I51" s="5"/>
      <c r="J51" s="5"/>
      <c r="N51" s="24"/>
      <c r="O51" s="24"/>
      <c r="P51" s="24"/>
      <c r="Q51" s="24"/>
      <c r="R51" s="5"/>
      <c r="S51" s="5"/>
      <c r="T51" s="5"/>
      <c r="U51" s="5"/>
      <c r="V51" s="173">
        <v>28</v>
      </c>
      <c r="W51" s="168" t="s">
        <v>224</v>
      </c>
      <c r="X51" s="166">
        <v>40</v>
      </c>
      <c r="Y51" s="166">
        <f t="shared" si="0"/>
        <v>0</v>
      </c>
      <c r="Z51" s="166" t="str">
        <f t="shared" si="1"/>
        <v>0</v>
      </c>
      <c r="AA51" s="166">
        <v>40</v>
      </c>
      <c r="AB51" s="166">
        <v>0</v>
      </c>
      <c r="AC51" s="165"/>
      <c r="AD51" s="5"/>
      <c r="AE51" s="87">
        <v>28</v>
      </c>
      <c r="AF51" s="87">
        <v>8</v>
      </c>
      <c r="AG51" s="87">
        <v>-6</v>
      </c>
      <c r="AH51" s="88">
        <v>-1.7424871230634001E-10</v>
      </c>
      <c r="AI51" s="89"/>
      <c r="AJ51" s="98">
        <f t="shared" si="2"/>
        <v>5.0770009291009656E-6</v>
      </c>
      <c r="AK51" s="98">
        <f t="shared" si="3"/>
        <v>5.0770009291009656E-6</v>
      </c>
      <c r="AL51" s="98">
        <f t="shared" si="4"/>
        <v>5.0770009291009656E-6</v>
      </c>
      <c r="AM51" s="98">
        <f t="shared" si="5"/>
        <v>5.0770009291009656E-6</v>
      </c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6"/>
    </row>
    <row r="52" spans="2:95" ht="19.5" x14ac:dyDescent="0.2">
      <c r="B52" s="125" t="s">
        <v>58</v>
      </c>
      <c r="C52" s="123" t="s">
        <v>162</v>
      </c>
      <c r="D52" s="123" t="s">
        <v>59</v>
      </c>
      <c r="E52" s="129">
        <f>E51*E44^2/(2*9.81)</f>
        <v>0</v>
      </c>
      <c r="F52" s="129">
        <f t="shared" ref="F52:H52" si="14">F51*F44^2/(2*9.81)</f>
        <v>0</v>
      </c>
      <c r="G52" s="129">
        <f t="shared" si="14"/>
        <v>0</v>
      </c>
      <c r="H52" s="129">
        <f t="shared" si="14"/>
        <v>0</v>
      </c>
      <c r="I52" s="3"/>
      <c r="J52" s="3"/>
      <c r="N52" s="25"/>
      <c r="O52" s="25"/>
      <c r="P52" s="25"/>
      <c r="Q52" s="25"/>
      <c r="R52" s="6"/>
      <c r="S52" s="6"/>
      <c r="T52" s="6"/>
      <c r="U52" s="6"/>
      <c r="V52" s="173">
        <v>29</v>
      </c>
      <c r="W52" s="168" t="s">
        <v>42</v>
      </c>
      <c r="X52" s="166">
        <v>40</v>
      </c>
      <c r="Y52" s="166">
        <f t="shared" si="0"/>
        <v>80</v>
      </c>
      <c r="Z52" s="166" t="str">
        <f t="shared" si="1"/>
        <v>11,42</v>
      </c>
      <c r="AA52" s="166">
        <v>50</v>
      </c>
      <c r="AB52" s="166">
        <v>60</v>
      </c>
      <c r="AC52" s="165"/>
      <c r="AD52" s="6"/>
      <c r="AE52" s="87">
        <v>29</v>
      </c>
      <c r="AF52" s="87">
        <v>21</v>
      </c>
      <c r="AG52" s="87">
        <v>-29</v>
      </c>
      <c r="AH52" s="88">
        <v>-6.8762131295530996E-19</v>
      </c>
      <c r="AI52" s="89"/>
      <c r="AJ52" s="98">
        <f t="shared" si="2"/>
        <v>4.2879676443849932E-12</v>
      </c>
      <c r="AK52" s="98">
        <f t="shared" si="3"/>
        <v>4.2879676443849932E-12</v>
      </c>
      <c r="AL52" s="98">
        <f t="shared" si="4"/>
        <v>4.2879676443849932E-12</v>
      </c>
      <c r="AM52" s="98">
        <f t="shared" si="5"/>
        <v>4.2879676443849932E-12</v>
      </c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</row>
    <row r="53" spans="2:95" ht="15.75" x14ac:dyDescent="0.2">
      <c r="B53" s="130" t="s">
        <v>61</v>
      </c>
      <c r="C53" s="151"/>
      <c r="D53" s="171"/>
      <c r="E53" s="131"/>
      <c r="F53" s="131"/>
      <c r="G53" s="131"/>
      <c r="H53" s="131"/>
      <c r="N53" s="25"/>
      <c r="O53" s="25"/>
      <c r="P53" s="25"/>
      <c r="Q53" s="25"/>
      <c r="R53" s="6"/>
      <c r="S53" s="6"/>
      <c r="T53" s="6"/>
      <c r="U53" s="6"/>
      <c r="V53" s="173">
        <v>30</v>
      </c>
      <c r="W53" s="168" t="s">
        <v>225</v>
      </c>
      <c r="X53" s="166">
        <v>40</v>
      </c>
      <c r="Y53" s="166">
        <f t="shared" si="0"/>
        <v>80</v>
      </c>
      <c r="Z53" s="166" t="str">
        <f t="shared" si="1"/>
        <v>23,54</v>
      </c>
      <c r="AA53" s="166">
        <v>65</v>
      </c>
      <c r="AB53" s="166">
        <v>70</v>
      </c>
      <c r="AC53" s="165"/>
      <c r="AD53" s="6"/>
      <c r="AE53" s="87">
        <v>30</v>
      </c>
      <c r="AF53" s="87">
        <v>23</v>
      </c>
      <c r="AG53" s="87">
        <v>-31</v>
      </c>
      <c r="AH53" s="88">
        <v>1.4478307828521001E-20</v>
      </c>
      <c r="AI53" s="89"/>
      <c r="AJ53" s="98">
        <f t="shared" si="2"/>
        <v>-7.9312356684317107E-13</v>
      </c>
      <c r="AK53" s="98">
        <f t="shared" si="3"/>
        <v>-7.9312356684317107E-13</v>
      </c>
      <c r="AL53" s="98">
        <f t="shared" si="4"/>
        <v>-7.9312356684317107E-13</v>
      </c>
      <c r="AM53" s="98">
        <f t="shared" si="5"/>
        <v>-7.9312356684317107E-13</v>
      </c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</row>
    <row r="54" spans="2:95" ht="15.75" x14ac:dyDescent="0.2">
      <c r="B54" s="132" t="s">
        <v>88</v>
      </c>
      <c r="C54" s="124" t="s">
        <v>62</v>
      </c>
      <c r="D54" s="123"/>
      <c r="E54" s="128">
        <f>0.11*(E33/E36+68/E48)^0.25</f>
        <v>4.7067342404191137E-2</v>
      </c>
      <c r="F54" s="128">
        <f t="shared" ref="F54:H54" si="15">0.11*(F33/F36+68/F48)^0.25</f>
        <v>4.7067342404191137E-2</v>
      </c>
      <c r="G54" s="128">
        <f t="shared" si="15"/>
        <v>4.7067342404191137E-2</v>
      </c>
      <c r="H54" s="128">
        <f t="shared" si="15"/>
        <v>4.7067342404191137E-2</v>
      </c>
      <c r="N54" s="25"/>
      <c r="O54" s="25"/>
      <c r="P54" s="25"/>
      <c r="Q54" s="25"/>
      <c r="R54" s="6"/>
      <c r="S54" s="6"/>
      <c r="T54" s="6"/>
      <c r="U54" s="6"/>
      <c r="V54" s="173">
        <v>31</v>
      </c>
      <c r="W54" s="168" t="s">
        <v>47</v>
      </c>
      <c r="X54" s="166">
        <v>40</v>
      </c>
      <c r="Y54" s="166">
        <f t="shared" si="0"/>
        <v>80</v>
      </c>
      <c r="Z54" s="166" t="str">
        <f t="shared" si="1"/>
        <v>34,2</v>
      </c>
      <c r="AA54" s="166">
        <v>80</v>
      </c>
      <c r="AB54" s="166">
        <v>75</v>
      </c>
      <c r="AC54" s="165"/>
      <c r="AD54" s="6"/>
      <c r="AE54" s="87">
        <v>31</v>
      </c>
      <c r="AF54" s="87">
        <v>29</v>
      </c>
      <c r="AG54" s="87">
        <v>-38</v>
      </c>
      <c r="AH54" s="88">
        <v>2.6335781662795E-23</v>
      </c>
      <c r="AI54" s="89"/>
      <c r="AJ54" s="98">
        <f t="shared" si="2"/>
        <v>-3.7659273272397893E-13</v>
      </c>
      <c r="AK54" s="98">
        <f t="shared" si="3"/>
        <v>-3.7659273272397893E-13</v>
      </c>
      <c r="AL54" s="98">
        <f t="shared" si="4"/>
        <v>-3.7659273272397893E-13</v>
      </c>
      <c r="AM54" s="98">
        <f t="shared" si="5"/>
        <v>-3.7659273272397893E-13</v>
      </c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</row>
    <row r="55" spans="2:95" ht="30" x14ac:dyDescent="0.2">
      <c r="B55" s="125" t="s">
        <v>87</v>
      </c>
      <c r="C55" s="123" t="s">
        <v>161</v>
      </c>
      <c r="D55" s="123" t="s">
        <v>59</v>
      </c>
      <c r="E55" s="129">
        <f>E54*E34*E44^2/(E36*2*9.81)</f>
        <v>0.92882277747714881</v>
      </c>
      <c r="F55" s="129">
        <f t="shared" ref="F55:H55" si="16">F54*F34*F44^2/(F36*2*9.81)</f>
        <v>0.92882277747714881</v>
      </c>
      <c r="G55" s="129">
        <f t="shared" si="16"/>
        <v>0.92882277747714881</v>
      </c>
      <c r="H55" s="129">
        <f t="shared" si="16"/>
        <v>0.92882277747714881</v>
      </c>
      <c r="N55" s="25"/>
      <c r="O55" s="25"/>
      <c r="P55" s="25"/>
      <c r="Q55" s="25"/>
      <c r="R55" s="6"/>
      <c r="S55" s="6"/>
      <c r="T55" s="6"/>
      <c r="U55" s="6"/>
      <c r="V55" s="173">
        <v>32</v>
      </c>
      <c r="W55" s="168" t="s">
        <v>226</v>
      </c>
      <c r="X55" s="166">
        <v>40</v>
      </c>
      <c r="Y55" s="166">
        <f t="shared" si="0"/>
        <v>80</v>
      </c>
      <c r="Z55" s="166" t="str">
        <f t="shared" si="1"/>
        <v>25,98</v>
      </c>
      <c r="AA55" s="166">
        <v>100</v>
      </c>
      <c r="AB55" s="166">
        <v>140</v>
      </c>
      <c r="AC55" s="165"/>
      <c r="AD55" s="6"/>
      <c r="AE55" s="87">
        <v>32</v>
      </c>
      <c r="AF55" s="87">
        <v>30</v>
      </c>
      <c r="AG55" s="87">
        <v>-39</v>
      </c>
      <c r="AH55" s="88">
        <v>-1.1947622640071E-23</v>
      </c>
      <c r="AI55" s="89"/>
      <c r="AJ55" s="98">
        <f t="shared" si="2"/>
        <v>5.0053752797678593E-13</v>
      </c>
      <c r="AK55" s="98">
        <f t="shared" si="3"/>
        <v>5.0053752797678593E-13</v>
      </c>
      <c r="AL55" s="98">
        <f t="shared" si="4"/>
        <v>5.0053752797678593E-13</v>
      </c>
      <c r="AM55" s="98">
        <f t="shared" si="5"/>
        <v>5.0053752797678593E-13</v>
      </c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</row>
    <row r="56" spans="2:95" ht="15.75" x14ac:dyDescent="0.2">
      <c r="B56" s="130" t="s">
        <v>63</v>
      </c>
      <c r="C56" s="122"/>
      <c r="D56" s="123"/>
      <c r="E56" s="133"/>
      <c r="F56" s="133"/>
      <c r="G56" s="133"/>
      <c r="H56" s="133"/>
      <c r="I56" s="7"/>
      <c r="J56" s="7"/>
      <c r="N56" s="26"/>
      <c r="O56" s="26"/>
      <c r="P56" s="26"/>
      <c r="Q56" s="26"/>
      <c r="R56" s="7"/>
      <c r="S56" s="7"/>
      <c r="T56" s="7"/>
      <c r="U56" s="7"/>
      <c r="V56" s="173">
        <v>33</v>
      </c>
      <c r="W56" s="168" t="s">
        <v>227</v>
      </c>
      <c r="X56" s="166">
        <v>40</v>
      </c>
      <c r="Y56" s="166">
        <f t="shared" si="0"/>
        <v>80</v>
      </c>
      <c r="Z56" s="166" t="str">
        <f t="shared" si="1"/>
        <v>31,64</v>
      </c>
      <c r="AA56" s="166">
        <v>125</v>
      </c>
      <c r="AB56" s="166">
        <v>160</v>
      </c>
      <c r="AC56" s="165"/>
      <c r="AD56" s="7"/>
      <c r="AE56" s="87">
        <v>33</v>
      </c>
      <c r="AF56" s="87">
        <v>31</v>
      </c>
      <c r="AG56" s="87">
        <v>-40</v>
      </c>
      <c r="AH56" s="88">
        <v>1.8228094581404E-24</v>
      </c>
      <c r="AI56" s="89"/>
      <c r="AJ56" s="98">
        <f t="shared" si="2"/>
        <v>-2.234822464238685E-13</v>
      </c>
      <c r="AK56" s="98">
        <f t="shared" si="3"/>
        <v>-2.234822464238685E-13</v>
      </c>
      <c r="AL56" s="98">
        <f t="shared" si="4"/>
        <v>-2.234822464238685E-13</v>
      </c>
      <c r="AM56" s="98">
        <f t="shared" si="5"/>
        <v>-2.234822464238685E-13</v>
      </c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6"/>
    </row>
    <row r="57" spans="2:95" ht="19.5" x14ac:dyDescent="0.2">
      <c r="B57" s="125" t="s">
        <v>83</v>
      </c>
      <c r="C57" s="134" t="s">
        <v>158</v>
      </c>
      <c r="D57" s="123"/>
      <c r="E57" s="135">
        <f>3.2*TAN(RADIANS(E40/2))^1.25*(1-(E36/E38)^2)^2</f>
        <v>0</v>
      </c>
      <c r="F57" s="135">
        <f t="shared" ref="F57:H57" si="17">3.2*TAN(RADIANS(F40/2))^1.25*(1-(F36/F38)^2)^2</f>
        <v>0</v>
      </c>
      <c r="G57" s="135">
        <f t="shared" si="17"/>
        <v>0</v>
      </c>
      <c r="H57" s="135">
        <f t="shared" si="17"/>
        <v>0</v>
      </c>
      <c r="N57" s="25"/>
      <c r="O57" s="25"/>
      <c r="P57" s="25"/>
      <c r="Q57" s="25"/>
      <c r="R57" s="6"/>
      <c r="S57" s="6"/>
      <c r="T57" s="6"/>
      <c r="U57" s="6"/>
      <c r="V57" s="173">
        <v>34</v>
      </c>
      <c r="W57" s="168" t="s">
        <v>228</v>
      </c>
      <c r="X57" s="166">
        <v>40</v>
      </c>
      <c r="Y57" s="166">
        <f t="shared" si="0"/>
        <v>80</v>
      </c>
      <c r="Z57" s="166" t="str">
        <f t="shared" si="1"/>
        <v>47,5</v>
      </c>
      <c r="AA57" s="166">
        <v>150</v>
      </c>
      <c r="AB57" s="166">
        <v>135</v>
      </c>
      <c r="AC57" s="165"/>
      <c r="AD57" s="6"/>
      <c r="AE57" s="87">
        <v>34</v>
      </c>
      <c r="AF57" s="87">
        <v>32</v>
      </c>
      <c r="AG57" s="87">
        <v>-41</v>
      </c>
      <c r="AH57" s="88">
        <v>-9.3537087292457998E-26</v>
      </c>
      <c r="AI57" s="89"/>
      <c r="AJ57" s="98">
        <f t="shared" si="2"/>
        <v>3.3525869470831602E-14</v>
      </c>
      <c r="AK57" s="98">
        <f t="shared" si="3"/>
        <v>3.3525869470831602E-14</v>
      </c>
      <c r="AL57" s="98">
        <f t="shared" si="4"/>
        <v>3.3525869470831602E-14</v>
      </c>
      <c r="AM57" s="98">
        <f t="shared" si="5"/>
        <v>3.3525869470831602E-14</v>
      </c>
      <c r="AN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</row>
    <row r="58" spans="2:95" ht="19.5" x14ac:dyDescent="0.2">
      <c r="B58" s="125" t="s">
        <v>119</v>
      </c>
      <c r="C58" s="134" t="s">
        <v>159</v>
      </c>
      <c r="D58" s="123"/>
      <c r="E58" s="128">
        <f>IF(E38=E36,0,E54/(8*SIN(RADIANS(E40/2)))*(1-(E36/E38)^4))</f>
        <v>0</v>
      </c>
      <c r="F58" s="128">
        <f t="shared" ref="F58:H58" si="18">IF(F38=F36,0,F54/(8*SIN(RADIANS(F40/2)))*(1-(F36/F38)^4))</f>
        <v>0</v>
      </c>
      <c r="G58" s="128">
        <f t="shared" si="18"/>
        <v>0</v>
      </c>
      <c r="H58" s="128">
        <f t="shared" si="18"/>
        <v>0</v>
      </c>
      <c r="N58" s="25"/>
      <c r="O58" s="25"/>
      <c r="P58" s="25"/>
      <c r="Q58" s="25"/>
      <c r="R58" s="6"/>
      <c r="S58" s="6"/>
      <c r="T58" s="6"/>
      <c r="U58" s="6"/>
      <c r="V58" s="173">
        <v>35</v>
      </c>
      <c r="W58" s="168" t="s">
        <v>229</v>
      </c>
      <c r="X58" s="166">
        <v>50</v>
      </c>
      <c r="Y58" s="166">
        <f t="shared" si="0"/>
        <v>0</v>
      </c>
      <c r="Z58" s="166" t="str">
        <f t="shared" si="1"/>
        <v>0</v>
      </c>
      <c r="AA58" s="166">
        <v>50</v>
      </c>
      <c r="AB58" s="166">
        <v>0</v>
      </c>
      <c r="AC58" s="165"/>
      <c r="AD58" s="6"/>
      <c r="AE58" s="89"/>
      <c r="AF58" s="89"/>
      <c r="AG58" s="90" t="s">
        <v>135</v>
      </c>
      <c r="AH58">
        <v>0.46152599999999999</v>
      </c>
      <c r="AI58" s="89"/>
      <c r="AJ58" s="92">
        <f>SUM(AJ32:AJ57)</f>
        <v>0.10012510426036059</v>
      </c>
      <c r="AK58" s="92">
        <f>SUM(AK32:AK57)</f>
        <v>0.10012510426036059</v>
      </c>
      <c r="AL58" s="92">
        <f>SUM(AL32:AL57)</f>
        <v>0.10012510426036059</v>
      </c>
      <c r="AM58" s="92">
        <f>SUM(AM32:AM57)</f>
        <v>0.10012510426036059</v>
      </c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</row>
    <row r="59" spans="2:95" ht="19.5" x14ac:dyDescent="0.2">
      <c r="B59" s="136" t="s">
        <v>64</v>
      </c>
      <c r="C59" s="137" t="s">
        <v>160</v>
      </c>
      <c r="D59" s="137" t="s">
        <v>59</v>
      </c>
      <c r="E59" s="129">
        <f>(E57+E58)*E44^2/(2*9.81)</f>
        <v>0</v>
      </c>
      <c r="F59" s="129">
        <f t="shared" ref="F59:H59" si="19">(F57+F58)*F44^2/(2*9.81)</f>
        <v>0</v>
      </c>
      <c r="G59" s="129">
        <f t="shared" si="19"/>
        <v>0</v>
      </c>
      <c r="H59" s="129">
        <f t="shared" si="19"/>
        <v>0</v>
      </c>
      <c r="N59" s="25"/>
      <c r="O59" s="25"/>
      <c r="P59" s="25"/>
      <c r="Q59" s="25"/>
      <c r="R59" s="6"/>
      <c r="S59" s="6"/>
      <c r="T59" s="6"/>
      <c r="U59" s="6"/>
      <c r="V59" s="173">
        <v>36</v>
      </c>
      <c r="W59" s="168" t="s">
        <v>230</v>
      </c>
      <c r="X59" s="166">
        <v>50</v>
      </c>
      <c r="Y59" s="166">
        <f t="shared" si="0"/>
        <v>100</v>
      </c>
      <c r="Z59" s="166" t="str">
        <f t="shared" si="1"/>
        <v>14,26</v>
      </c>
      <c r="AA59" s="166">
        <v>65</v>
      </c>
      <c r="AB59" s="166">
        <v>70</v>
      </c>
      <c r="AC59" s="165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</row>
    <row r="60" spans="2:95" ht="15.75" x14ac:dyDescent="0.2">
      <c r="B60" s="176" t="s">
        <v>65</v>
      </c>
      <c r="C60" s="176"/>
      <c r="D60" s="174" t="s">
        <v>66</v>
      </c>
      <c r="E60" s="175">
        <f>E59+E55+E52</f>
        <v>0.92882277747714881</v>
      </c>
      <c r="F60" s="175">
        <f t="shared" ref="F60:H60" si="20">F59+F55+F52</f>
        <v>0.92882277747714881</v>
      </c>
      <c r="G60" s="175">
        <f t="shared" si="20"/>
        <v>0.92882277747714881</v>
      </c>
      <c r="H60" s="175">
        <f t="shared" si="20"/>
        <v>0.92882277747714881</v>
      </c>
      <c r="K60" s="50"/>
      <c r="L60" s="50"/>
      <c r="M60" s="50"/>
      <c r="N60" s="25"/>
      <c r="O60" s="25"/>
      <c r="P60" s="25"/>
      <c r="Q60" s="25"/>
      <c r="R60" s="6"/>
      <c r="S60" s="6"/>
      <c r="T60" s="6"/>
      <c r="U60" s="6"/>
      <c r="V60" s="173">
        <v>37</v>
      </c>
      <c r="W60" s="168" t="s">
        <v>231</v>
      </c>
      <c r="X60" s="166">
        <v>50</v>
      </c>
      <c r="Y60" s="166">
        <f t="shared" si="0"/>
        <v>100</v>
      </c>
      <c r="Z60" s="166" t="str">
        <f t="shared" si="1"/>
        <v>25,98</v>
      </c>
      <c r="AA60" s="166">
        <v>80</v>
      </c>
      <c r="AB60" s="166">
        <v>75</v>
      </c>
      <c r="AC60" s="165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</row>
    <row r="61" spans="2:95" ht="15.75" x14ac:dyDescent="0.2">
      <c r="B61" s="152"/>
      <c r="C61" s="152"/>
      <c r="D61" s="123" t="s">
        <v>13</v>
      </c>
      <c r="E61" s="129">
        <f>E60/10</f>
        <v>9.2882277747714875E-2</v>
      </c>
      <c r="F61" s="129">
        <f t="shared" ref="F61:H61" si="21">F60/10</f>
        <v>9.2882277747714875E-2</v>
      </c>
      <c r="G61" s="129">
        <f t="shared" si="21"/>
        <v>9.2882277747714875E-2</v>
      </c>
      <c r="H61" s="129">
        <f t="shared" si="21"/>
        <v>9.2882277747714875E-2</v>
      </c>
      <c r="K61" s="6"/>
      <c r="L61" s="6"/>
      <c r="M61" s="5"/>
      <c r="N61" s="5"/>
      <c r="O61" s="6"/>
      <c r="P61" s="6"/>
      <c r="Q61" s="6"/>
      <c r="R61" s="6"/>
      <c r="S61" s="6"/>
      <c r="T61" s="6"/>
      <c r="U61" s="6"/>
      <c r="V61" s="173">
        <v>38</v>
      </c>
      <c r="W61" s="168" t="s">
        <v>232</v>
      </c>
      <c r="X61" s="166">
        <v>50</v>
      </c>
      <c r="Y61" s="166">
        <f t="shared" si="0"/>
        <v>100</v>
      </c>
      <c r="Z61" s="166" t="str">
        <f t="shared" si="1"/>
        <v>39,3</v>
      </c>
      <c r="AA61" s="166">
        <v>100</v>
      </c>
      <c r="AB61" s="166">
        <v>80</v>
      </c>
      <c r="AC61" s="165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</row>
    <row r="62" spans="2:95" s="15" customFormat="1" ht="15" x14ac:dyDescent="0.2">
      <c r="B62" s="46"/>
      <c r="C62" s="46"/>
      <c r="D62" s="47"/>
      <c r="E62" s="1"/>
      <c r="F62" s="1"/>
      <c r="G62" s="1"/>
      <c r="H62" s="1"/>
      <c r="I62" s="33"/>
      <c r="J62" s="33"/>
      <c r="K62" s="34"/>
      <c r="L62" s="34"/>
      <c r="V62" s="173">
        <v>39</v>
      </c>
      <c r="W62" s="168" t="s">
        <v>233</v>
      </c>
      <c r="X62" s="166">
        <v>50</v>
      </c>
      <c r="Y62" s="166">
        <f t="shared" si="0"/>
        <v>100</v>
      </c>
      <c r="Z62" s="166" t="str">
        <f t="shared" si="1"/>
        <v>45,24</v>
      </c>
      <c r="AA62" s="166">
        <v>125</v>
      </c>
      <c r="AB62" s="166">
        <v>100</v>
      </c>
      <c r="AC62" s="165"/>
    </row>
    <row r="63" spans="2:95" s="16" customFormat="1" ht="32.25" customHeight="1" x14ac:dyDescent="0.2">
      <c r="B63" s="48"/>
      <c r="C63" s="49"/>
      <c r="D63" s="1"/>
      <c r="E63" s="1"/>
      <c r="F63" s="1"/>
      <c r="G63" s="1"/>
      <c r="H63" s="1"/>
      <c r="I63" s="78"/>
      <c r="J63" s="78"/>
      <c r="K63" s="78"/>
      <c r="L63" s="78"/>
      <c r="M63" s="35"/>
      <c r="N63" s="35"/>
      <c r="V63" s="173">
        <v>40</v>
      </c>
      <c r="W63" s="168" t="s">
        <v>234</v>
      </c>
      <c r="X63" s="166">
        <v>50</v>
      </c>
      <c r="Y63" s="166">
        <f t="shared" si="0"/>
        <v>100</v>
      </c>
      <c r="Z63" s="166" t="str">
        <f t="shared" si="1"/>
        <v>75,14</v>
      </c>
      <c r="AA63" s="166">
        <v>150</v>
      </c>
      <c r="AB63" s="166">
        <v>75</v>
      </c>
      <c r="AC63" s="165"/>
    </row>
    <row r="64" spans="2:95" s="16" customFormat="1" ht="16.5" customHeight="1" x14ac:dyDescent="0.2">
      <c r="B64" s="142" t="s">
        <v>79</v>
      </c>
      <c r="C64" s="143"/>
      <c r="D64" s="143"/>
      <c r="E64" s="143"/>
      <c r="F64" s="143"/>
      <c r="G64" s="143"/>
      <c r="H64" s="143"/>
      <c r="I64" s="36"/>
      <c r="J64" s="36"/>
      <c r="K64" s="36"/>
      <c r="L64" s="36"/>
      <c r="V64" s="173">
        <v>41</v>
      </c>
      <c r="W64" s="168" t="s">
        <v>235</v>
      </c>
      <c r="X64" s="166">
        <v>65</v>
      </c>
      <c r="Y64" s="166">
        <f t="shared" si="0"/>
        <v>0</v>
      </c>
      <c r="Z64" s="166" t="str">
        <f t="shared" si="1"/>
        <v>0</v>
      </c>
      <c r="AA64" s="166">
        <v>65</v>
      </c>
      <c r="AB64" s="166">
        <v>0</v>
      </c>
      <c r="AC64" s="15"/>
    </row>
    <row r="65" spans="2:97" s="14" customFormat="1" ht="30" customHeight="1" x14ac:dyDescent="0.2">
      <c r="B65" s="191" t="s">
        <v>81</v>
      </c>
      <c r="C65" s="191"/>
      <c r="D65" s="191"/>
      <c r="E65" s="191"/>
      <c r="F65" s="191"/>
      <c r="G65" s="191"/>
      <c r="H65" s="191"/>
      <c r="I65" s="31"/>
      <c r="J65" s="31"/>
      <c r="V65" s="173">
        <v>42</v>
      </c>
      <c r="W65" s="168" t="s">
        <v>236</v>
      </c>
      <c r="X65" s="166">
        <v>65</v>
      </c>
      <c r="Y65" s="166">
        <f t="shared" si="0"/>
        <v>130</v>
      </c>
      <c r="Z65" s="166" t="str">
        <f t="shared" si="1"/>
        <v>13,16</v>
      </c>
      <c r="AA65" s="166">
        <v>80</v>
      </c>
      <c r="AB65" s="166">
        <v>75</v>
      </c>
      <c r="AC65" s="16"/>
    </row>
    <row r="66" spans="2:97" s="14" customFormat="1" ht="15" x14ac:dyDescent="0.2">
      <c r="B66" s="144" t="s">
        <v>0</v>
      </c>
      <c r="C66" s="145"/>
      <c r="D66" s="145"/>
      <c r="E66" s="145"/>
      <c r="F66" s="145"/>
      <c r="G66" s="145"/>
      <c r="H66" s="145"/>
      <c r="I66" s="115"/>
      <c r="J66" s="115"/>
      <c r="V66" s="173">
        <v>43</v>
      </c>
      <c r="W66" s="168" t="s">
        <v>237</v>
      </c>
      <c r="X66" s="166">
        <v>65</v>
      </c>
      <c r="Y66" s="166">
        <f t="shared" si="0"/>
        <v>130</v>
      </c>
      <c r="Z66" s="166" t="str">
        <f t="shared" si="1"/>
        <v>28,08</v>
      </c>
      <c r="AA66" s="166">
        <v>100</v>
      </c>
      <c r="AB66" s="166">
        <v>80</v>
      </c>
      <c r="AC66" s="16"/>
    </row>
    <row r="67" spans="2:97" x14ac:dyDescent="0.2">
      <c r="B67" s="14"/>
      <c r="C67" s="14"/>
      <c r="D67" s="14"/>
      <c r="E67" s="14"/>
      <c r="F67" s="14"/>
      <c r="G67" s="116"/>
      <c r="H67" s="117"/>
      <c r="I67" s="8"/>
      <c r="J67" s="8"/>
      <c r="K67" s="8"/>
      <c r="L67" s="8"/>
      <c r="M67" s="6"/>
      <c r="N67" s="6"/>
      <c r="O67" s="8"/>
      <c r="P67" s="8"/>
      <c r="Q67" s="8"/>
      <c r="R67" s="8"/>
      <c r="S67" s="8"/>
      <c r="T67" s="8"/>
      <c r="U67" s="8"/>
      <c r="V67" s="173">
        <v>44</v>
      </c>
      <c r="W67" s="168" t="s">
        <v>238</v>
      </c>
      <c r="X67" s="166">
        <v>65</v>
      </c>
      <c r="Y67" s="166">
        <f t="shared" si="0"/>
        <v>130</v>
      </c>
      <c r="Z67" s="166" t="str">
        <f t="shared" si="1"/>
        <v>36,86</v>
      </c>
      <c r="AA67" s="166">
        <v>125</v>
      </c>
      <c r="AB67" s="166">
        <v>100</v>
      </c>
      <c r="AC67" s="14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6"/>
    </row>
    <row r="68" spans="2:97" x14ac:dyDescent="0.2">
      <c r="B68" s="14"/>
      <c r="C68" s="14"/>
      <c r="D68" s="14"/>
      <c r="E68" s="14"/>
      <c r="F68" s="14"/>
      <c r="G68" s="118"/>
      <c r="H68" s="119"/>
      <c r="I68" s="8"/>
      <c r="J68" s="8"/>
      <c r="K68" s="8"/>
      <c r="L68" s="8"/>
      <c r="M68" s="6"/>
      <c r="N68" s="6"/>
      <c r="O68" s="8"/>
      <c r="P68" s="8"/>
      <c r="Q68" s="8"/>
      <c r="R68" s="8"/>
      <c r="S68" s="8"/>
      <c r="T68" s="8"/>
      <c r="U68" s="8"/>
      <c r="V68" s="173">
        <v>45</v>
      </c>
      <c r="W68" s="168" t="s">
        <v>239</v>
      </c>
      <c r="X68" s="166">
        <v>65</v>
      </c>
      <c r="Y68" s="166">
        <f t="shared" si="0"/>
        <v>130</v>
      </c>
      <c r="Z68" s="166" t="str">
        <f t="shared" si="1"/>
        <v>66,36</v>
      </c>
      <c r="AA68" s="166">
        <v>150</v>
      </c>
      <c r="AB68" s="166">
        <v>75</v>
      </c>
      <c r="AC68" s="14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6"/>
    </row>
    <row r="69" spans="2:97" x14ac:dyDescent="0.2">
      <c r="E69" s="104"/>
      <c r="F69" s="104"/>
      <c r="G69" s="37"/>
      <c r="H69" s="104"/>
      <c r="I69" s="3"/>
      <c r="J69" s="3"/>
      <c r="K69" s="6"/>
      <c r="L69" s="6"/>
      <c r="M69" s="6"/>
      <c r="N69" s="6"/>
      <c r="O69" s="6"/>
      <c r="P69" s="6"/>
      <c r="Q69" s="6"/>
      <c r="V69" s="173">
        <v>46</v>
      </c>
      <c r="W69" s="168" t="s">
        <v>240</v>
      </c>
      <c r="X69" s="166">
        <v>65</v>
      </c>
      <c r="Y69" s="166">
        <f t="shared" si="0"/>
        <v>130</v>
      </c>
      <c r="Z69" s="166" t="str">
        <f t="shared" si="1"/>
        <v>76,9</v>
      </c>
      <c r="AA69" s="166">
        <v>200</v>
      </c>
      <c r="AB69" s="166">
        <v>95</v>
      </c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</row>
    <row r="70" spans="2:97" x14ac:dyDescent="0.2">
      <c r="B70" s="38"/>
      <c r="C70" s="39"/>
      <c r="D70" s="39"/>
      <c r="E70" s="40"/>
      <c r="F70" s="40"/>
      <c r="G70" s="40"/>
      <c r="H70" s="40"/>
      <c r="I70" s="32"/>
      <c r="J70" s="32"/>
      <c r="K70" s="9"/>
      <c r="L70" s="9"/>
      <c r="M70" s="9"/>
      <c r="N70" s="6"/>
      <c r="O70" s="6"/>
      <c r="P70" s="9"/>
      <c r="Q70" s="9"/>
      <c r="V70" s="173">
        <v>47</v>
      </c>
      <c r="W70" s="168" t="s">
        <v>60</v>
      </c>
      <c r="X70" s="166">
        <v>80</v>
      </c>
      <c r="Y70" s="166">
        <f t="shared" si="0"/>
        <v>0</v>
      </c>
      <c r="Z70" s="166" t="str">
        <f t="shared" si="1"/>
        <v>0</v>
      </c>
      <c r="AA70" s="166">
        <v>80</v>
      </c>
      <c r="AB70" s="166">
        <v>0</v>
      </c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6"/>
    </row>
    <row r="71" spans="2:97" x14ac:dyDescent="0.2">
      <c r="B71" s="38"/>
      <c r="C71" s="39"/>
      <c r="D71" s="39"/>
      <c r="E71" s="99"/>
      <c r="F71" s="100"/>
      <c r="G71" s="6"/>
      <c r="H71" s="112"/>
      <c r="I71" s="110"/>
      <c r="J71" s="110"/>
      <c r="K71" s="10"/>
      <c r="L71" s="10"/>
      <c r="M71" s="10"/>
      <c r="N71" s="7"/>
      <c r="O71" s="7"/>
      <c r="P71" s="10"/>
      <c r="Q71" s="10"/>
      <c r="V71" s="173">
        <v>48</v>
      </c>
      <c r="W71" s="168" t="s">
        <v>52</v>
      </c>
      <c r="X71" s="166">
        <v>80</v>
      </c>
      <c r="Y71" s="166">
        <f t="shared" si="0"/>
        <v>160</v>
      </c>
      <c r="Z71" s="166" t="str">
        <f t="shared" si="1"/>
        <v>16,26</v>
      </c>
      <c r="AA71" s="166">
        <v>100</v>
      </c>
      <c r="AB71" s="166">
        <v>80</v>
      </c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6"/>
    </row>
    <row r="72" spans="2:97" x14ac:dyDescent="0.2">
      <c r="B72" s="39"/>
      <c r="C72" s="39"/>
      <c r="D72" s="39"/>
      <c r="E72" s="9"/>
      <c r="F72" s="100"/>
      <c r="G72" s="9"/>
      <c r="H72" s="112"/>
      <c r="I72" s="112"/>
      <c r="J72" s="112"/>
      <c r="K72" s="6"/>
      <c r="L72" s="6"/>
      <c r="M72" s="6"/>
      <c r="N72" s="6"/>
      <c r="O72" s="6"/>
      <c r="P72" s="6"/>
      <c r="Q72" s="6"/>
      <c r="V72" s="173">
        <v>49</v>
      </c>
      <c r="W72" s="168" t="s">
        <v>54</v>
      </c>
      <c r="X72" s="166">
        <v>80</v>
      </c>
      <c r="Y72" s="166">
        <f t="shared" si="0"/>
        <v>160</v>
      </c>
      <c r="Z72" s="166" t="str">
        <f t="shared" si="1"/>
        <v>28,08</v>
      </c>
      <c r="AA72" s="166">
        <v>125</v>
      </c>
      <c r="AB72" s="166">
        <v>100</v>
      </c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</row>
    <row r="73" spans="2:97" x14ac:dyDescent="0.2">
      <c r="B73" s="6"/>
      <c r="E73" s="101"/>
      <c r="F73" s="99"/>
      <c r="G73" s="10"/>
      <c r="H73" s="112"/>
      <c r="I73" s="111"/>
      <c r="J73" s="111"/>
      <c r="K73" s="11"/>
      <c r="L73" s="11"/>
      <c r="M73" s="11"/>
      <c r="N73" s="11"/>
      <c r="O73" s="6"/>
      <c r="P73" s="6"/>
      <c r="Q73" s="11"/>
      <c r="R73" s="11"/>
      <c r="S73" s="11"/>
      <c r="T73" s="11"/>
      <c r="U73" s="11"/>
      <c r="V73" s="173">
        <v>50</v>
      </c>
      <c r="W73" s="168" t="s">
        <v>56</v>
      </c>
      <c r="X73" s="166">
        <v>80</v>
      </c>
      <c r="Y73" s="166">
        <f t="shared" si="0"/>
        <v>160</v>
      </c>
      <c r="Z73" s="166" t="str">
        <f t="shared" si="1"/>
        <v>32,52</v>
      </c>
      <c r="AA73" s="166">
        <v>150</v>
      </c>
      <c r="AB73" s="166">
        <v>130</v>
      </c>
      <c r="AC73" s="10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6"/>
    </row>
    <row r="74" spans="2:97" x14ac:dyDescent="0.2">
      <c r="B74" s="6"/>
      <c r="C74" s="6"/>
      <c r="D74" s="41"/>
      <c r="E74" s="99"/>
      <c r="F74" s="9"/>
      <c r="G74" s="6"/>
      <c r="H74" s="114"/>
      <c r="I74" s="112"/>
      <c r="J74" s="112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173">
        <v>51</v>
      </c>
      <c r="W74" s="168" t="s">
        <v>241</v>
      </c>
      <c r="X74" s="166">
        <v>80</v>
      </c>
      <c r="Y74" s="166">
        <f t="shared" si="0"/>
        <v>160</v>
      </c>
      <c r="Z74" s="166" t="str">
        <f t="shared" si="1"/>
        <v>70,44</v>
      </c>
      <c r="AA74" s="166">
        <v>200</v>
      </c>
      <c r="AB74" s="166">
        <v>95</v>
      </c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</row>
    <row r="75" spans="2:97" x14ac:dyDescent="0.2">
      <c r="B75" s="6"/>
      <c r="C75" s="6"/>
      <c r="D75" s="41"/>
      <c r="E75" s="102"/>
      <c r="F75" s="102"/>
      <c r="G75" s="3"/>
      <c r="H75" s="114"/>
      <c r="I75" s="120"/>
      <c r="J75" s="120"/>
      <c r="K75" s="12"/>
      <c r="L75" s="12"/>
      <c r="M75" s="12"/>
      <c r="N75" s="12"/>
      <c r="O75" s="6"/>
      <c r="P75" s="6"/>
      <c r="Q75" s="12"/>
      <c r="R75" s="12"/>
      <c r="S75" s="12"/>
      <c r="T75" s="12"/>
      <c r="U75" s="12"/>
      <c r="V75" s="173">
        <v>52</v>
      </c>
      <c r="W75" s="168" t="s">
        <v>242</v>
      </c>
      <c r="X75" s="166">
        <v>80</v>
      </c>
      <c r="Y75" s="166">
        <f t="shared" si="0"/>
        <v>160</v>
      </c>
      <c r="Z75" s="166" t="str">
        <f t="shared" si="1"/>
        <v>44,08</v>
      </c>
      <c r="AA75" s="166">
        <v>250</v>
      </c>
      <c r="AB75" s="166">
        <v>220</v>
      </c>
      <c r="AC75" s="11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6"/>
    </row>
    <row r="76" spans="2:97" x14ac:dyDescent="0.2">
      <c r="B76" s="6"/>
      <c r="C76" s="6"/>
      <c r="D76" s="6"/>
      <c r="E76" s="3"/>
      <c r="F76" s="3"/>
      <c r="G76" s="3"/>
      <c r="H76" s="114"/>
      <c r="I76" s="112"/>
      <c r="J76" s="112"/>
      <c r="K76" s="6"/>
      <c r="L76" s="6"/>
      <c r="M76" s="6"/>
      <c r="N76" s="6"/>
      <c r="O76" s="8"/>
      <c r="P76" s="8"/>
      <c r="Q76" s="6"/>
      <c r="R76" s="6"/>
      <c r="S76" s="6"/>
      <c r="T76" s="6"/>
      <c r="U76" s="6"/>
      <c r="V76" s="173">
        <v>53</v>
      </c>
      <c r="W76" s="168" t="s">
        <v>243</v>
      </c>
      <c r="X76" s="166">
        <v>80</v>
      </c>
      <c r="Y76" s="166">
        <f t="shared" si="0"/>
        <v>160</v>
      </c>
      <c r="Z76" s="166" t="str">
        <f t="shared" si="1"/>
        <v>55,3</v>
      </c>
      <c r="AA76" s="166">
        <v>300</v>
      </c>
      <c r="AB76" s="166">
        <v>220</v>
      </c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</row>
    <row r="77" spans="2:97" x14ac:dyDescent="0.2">
      <c r="B77" s="6"/>
      <c r="C77" s="6"/>
      <c r="D77" s="6"/>
      <c r="E77" s="3"/>
      <c r="F77" s="3"/>
      <c r="G77" s="3"/>
      <c r="H77" s="3"/>
      <c r="I77" s="42"/>
      <c r="J77" s="42"/>
      <c r="K77" s="13"/>
      <c r="L77" s="13"/>
      <c r="M77" s="13"/>
      <c r="N77" s="13"/>
      <c r="O77" s="8"/>
      <c r="P77" s="8"/>
      <c r="Q77" s="13"/>
      <c r="R77" s="13"/>
      <c r="S77" s="13"/>
      <c r="T77" s="13"/>
      <c r="U77" s="13"/>
      <c r="V77" s="173">
        <v>54</v>
      </c>
      <c r="W77" s="168" t="s">
        <v>244</v>
      </c>
      <c r="X77" s="166">
        <v>80</v>
      </c>
      <c r="Y77" s="166">
        <f t="shared" si="0"/>
        <v>160</v>
      </c>
      <c r="Z77" s="166" t="str">
        <f t="shared" si="1"/>
        <v>43,32</v>
      </c>
      <c r="AA77" s="166">
        <v>350</v>
      </c>
      <c r="AB77" s="166">
        <v>350</v>
      </c>
      <c r="AC77" s="12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6"/>
    </row>
    <row r="78" spans="2:97" x14ac:dyDescent="0.2">
      <c r="B78" s="6"/>
      <c r="C78" s="6"/>
      <c r="D78" s="6"/>
      <c r="E78" s="3"/>
      <c r="F78" s="3"/>
      <c r="G78" s="3"/>
      <c r="H78" s="3"/>
      <c r="I78" s="42"/>
      <c r="J78" s="42"/>
      <c r="K78" s="13"/>
      <c r="L78" s="13"/>
      <c r="M78" s="13"/>
      <c r="N78" s="13"/>
      <c r="O78" s="6"/>
      <c r="P78" s="6"/>
      <c r="Q78" s="13"/>
      <c r="R78" s="13"/>
      <c r="S78" s="13"/>
      <c r="T78" s="13"/>
      <c r="U78" s="13"/>
      <c r="V78" s="173">
        <v>55</v>
      </c>
      <c r="W78" s="168" t="s">
        <v>245</v>
      </c>
      <c r="X78" s="166">
        <v>100</v>
      </c>
      <c r="Y78" s="166">
        <f t="shared" si="0"/>
        <v>0</v>
      </c>
      <c r="Z78" s="166" t="str">
        <f t="shared" si="1"/>
        <v>0</v>
      </c>
      <c r="AA78" s="166">
        <v>100</v>
      </c>
      <c r="AB78" s="166">
        <v>0</v>
      </c>
      <c r="AC78" s="6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6"/>
    </row>
    <row r="79" spans="2:97" x14ac:dyDescent="0.2">
      <c r="B79" s="6"/>
      <c r="C79" s="6"/>
      <c r="D79" s="6"/>
      <c r="E79" s="3"/>
      <c r="F79" s="3"/>
      <c r="G79" s="3"/>
      <c r="H79" s="3"/>
      <c r="I79" s="42"/>
      <c r="J79" s="42"/>
      <c r="K79" s="13"/>
      <c r="L79" s="13"/>
      <c r="M79" s="13"/>
      <c r="N79" s="13"/>
      <c r="O79" s="9"/>
      <c r="P79" s="9"/>
      <c r="Q79" s="13"/>
      <c r="R79" s="13"/>
      <c r="S79" s="13"/>
      <c r="T79" s="13"/>
      <c r="U79" s="13"/>
      <c r="V79" s="173">
        <v>56</v>
      </c>
      <c r="W79" s="168" t="s">
        <v>246</v>
      </c>
      <c r="X79" s="166">
        <v>100</v>
      </c>
      <c r="Y79" s="166">
        <f t="shared" si="0"/>
        <v>200</v>
      </c>
      <c r="Z79" s="166" t="str">
        <f t="shared" si="1"/>
        <v>15,82</v>
      </c>
      <c r="AA79" s="166">
        <v>125</v>
      </c>
      <c r="AB79" s="166">
        <v>100</v>
      </c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6"/>
    </row>
    <row r="80" spans="2:97" x14ac:dyDescent="0.2">
      <c r="B80" s="6"/>
      <c r="C80" s="6"/>
      <c r="D80" s="6"/>
      <c r="E80" s="3"/>
      <c r="F80" s="3"/>
      <c r="G80" s="3"/>
      <c r="H80" s="3"/>
      <c r="I80" s="32"/>
      <c r="J80" s="32"/>
      <c r="K80" s="6"/>
      <c r="L80" s="6"/>
      <c r="M80" s="6"/>
      <c r="N80" s="6"/>
      <c r="O80" s="10"/>
      <c r="P80" s="10"/>
      <c r="Q80" s="6"/>
      <c r="R80" s="6"/>
      <c r="S80" s="6"/>
      <c r="T80" s="6"/>
      <c r="U80" s="6"/>
      <c r="V80" s="173">
        <v>57</v>
      </c>
      <c r="W80" s="168" t="s">
        <v>10</v>
      </c>
      <c r="X80" s="166">
        <v>100</v>
      </c>
      <c r="Y80" s="166">
        <f t="shared" si="0"/>
        <v>200</v>
      </c>
      <c r="Z80" s="166" t="str">
        <f t="shared" si="1"/>
        <v>23,54</v>
      </c>
      <c r="AA80" s="166">
        <v>150</v>
      </c>
      <c r="AB80" s="166">
        <v>130</v>
      </c>
      <c r="AC80" s="13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</row>
    <row r="81" spans="2:97" x14ac:dyDescent="0.2">
      <c r="B81" s="6"/>
      <c r="C81" s="6"/>
      <c r="D81" s="6"/>
      <c r="E81" s="3"/>
      <c r="F81" s="3"/>
      <c r="G81" s="3"/>
      <c r="H81" s="3"/>
      <c r="I81" s="32"/>
      <c r="J81" s="32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173">
        <v>58</v>
      </c>
      <c r="W81" s="168" t="s">
        <v>14</v>
      </c>
      <c r="X81" s="166">
        <v>100</v>
      </c>
      <c r="Y81" s="166">
        <f t="shared" si="0"/>
        <v>200</v>
      </c>
      <c r="Z81" s="166" t="str">
        <f t="shared" si="1"/>
        <v>60,94</v>
      </c>
      <c r="AA81" s="166">
        <v>200</v>
      </c>
      <c r="AB81" s="166">
        <v>95</v>
      </c>
      <c r="AC81" s="13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</row>
    <row r="82" spans="2:97" x14ac:dyDescent="0.2">
      <c r="B82" s="6"/>
      <c r="C82" s="6"/>
      <c r="D82" s="6"/>
      <c r="E82" s="3"/>
      <c r="F82" s="3"/>
      <c r="G82" s="3"/>
      <c r="H82" s="3"/>
      <c r="I82" s="42"/>
      <c r="J82" s="42"/>
      <c r="K82" s="13"/>
      <c r="L82" s="13"/>
      <c r="M82" s="13"/>
      <c r="N82" s="13"/>
      <c r="O82" s="11"/>
      <c r="P82" s="11"/>
      <c r="Q82" s="13"/>
      <c r="R82" s="13"/>
      <c r="S82" s="13"/>
      <c r="T82" s="13"/>
      <c r="U82" s="13"/>
      <c r="V82" s="173">
        <v>59</v>
      </c>
      <c r="W82" s="168" t="s">
        <v>247</v>
      </c>
      <c r="X82" s="166">
        <v>100</v>
      </c>
      <c r="Y82" s="166">
        <f t="shared" si="0"/>
        <v>200</v>
      </c>
      <c r="Z82" s="166" t="str">
        <f t="shared" si="1"/>
        <v>59,96</v>
      </c>
      <c r="AA82" s="166">
        <v>250</v>
      </c>
      <c r="AB82" s="166">
        <v>140</v>
      </c>
      <c r="AC82" s="6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6"/>
    </row>
    <row r="83" spans="2:97" x14ac:dyDescent="0.2">
      <c r="B83" s="6"/>
      <c r="C83" s="6"/>
      <c r="D83" s="6"/>
      <c r="E83" s="3"/>
      <c r="F83" s="3"/>
      <c r="G83" s="3"/>
      <c r="H83" s="3"/>
      <c r="I83" s="3"/>
      <c r="J83" s="3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173">
        <v>60</v>
      </c>
      <c r="W83" s="168" t="s">
        <v>248</v>
      </c>
      <c r="X83" s="166">
        <v>100</v>
      </c>
      <c r="Y83" s="166">
        <f t="shared" si="0"/>
        <v>200</v>
      </c>
      <c r="Z83" s="166" t="str">
        <f t="shared" si="1"/>
        <v>75,14</v>
      </c>
      <c r="AA83" s="166">
        <v>300</v>
      </c>
      <c r="AB83" s="166">
        <v>140</v>
      </c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</row>
    <row r="84" spans="2:97" x14ac:dyDescent="0.2">
      <c r="B84" s="6"/>
      <c r="C84" s="6"/>
      <c r="D84" s="6"/>
      <c r="E84" s="3"/>
      <c r="F84" s="3"/>
      <c r="G84" s="3"/>
      <c r="H84" s="3"/>
      <c r="I84" s="3"/>
      <c r="J84" s="3"/>
      <c r="K84" s="6"/>
      <c r="L84" s="6"/>
      <c r="M84" s="6"/>
      <c r="N84" s="6"/>
      <c r="O84" s="12"/>
      <c r="P84" s="12"/>
      <c r="Q84" s="6"/>
      <c r="R84" s="6"/>
      <c r="S84" s="6"/>
      <c r="T84" s="6"/>
      <c r="U84" s="6"/>
      <c r="V84" s="173">
        <v>61</v>
      </c>
      <c r="W84" s="168" t="s">
        <v>249</v>
      </c>
      <c r="X84" s="166">
        <v>100</v>
      </c>
      <c r="Y84" s="166">
        <f t="shared" si="0"/>
        <v>200</v>
      </c>
      <c r="Z84" s="166" t="str">
        <f t="shared" si="1"/>
        <v>40,38</v>
      </c>
      <c r="AA84" s="166">
        <v>350</v>
      </c>
      <c r="AB84" s="166">
        <v>350</v>
      </c>
      <c r="AC84" s="13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</row>
    <row r="85" spans="2:97" x14ac:dyDescent="0.2">
      <c r="B85" s="6"/>
      <c r="C85" s="6"/>
      <c r="D85" s="6"/>
      <c r="E85" s="3"/>
      <c r="F85" s="3"/>
      <c r="G85" s="3"/>
      <c r="H85" s="3"/>
      <c r="I85" s="3"/>
      <c r="J85" s="3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173">
        <v>62</v>
      </c>
      <c r="W85" s="168" t="s">
        <v>250</v>
      </c>
      <c r="X85" s="166">
        <v>100</v>
      </c>
      <c r="Y85" s="166">
        <f t="shared" si="0"/>
        <v>200</v>
      </c>
      <c r="Z85" s="166" t="str">
        <f t="shared" si="1"/>
        <v>47,62</v>
      </c>
      <c r="AA85" s="166">
        <v>400</v>
      </c>
      <c r="AB85" s="166">
        <v>350</v>
      </c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</row>
    <row r="86" spans="2:97" x14ac:dyDescent="0.2">
      <c r="B86" s="6"/>
      <c r="C86" s="6"/>
      <c r="D86" s="6"/>
      <c r="E86" s="3"/>
      <c r="F86" s="3"/>
      <c r="G86" s="3"/>
      <c r="H86" s="3"/>
      <c r="I86" s="3"/>
      <c r="J86" s="3"/>
      <c r="K86" s="6"/>
      <c r="L86" s="6"/>
      <c r="M86" s="6"/>
      <c r="N86" s="6"/>
      <c r="O86" s="13"/>
      <c r="P86" s="13"/>
      <c r="Q86" s="6"/>
      <c r="R86" s="6"/>
      <c r="S86" s="6"/>
      <c r="T86" s="6"/>
      <c r="U86" s="6"/>
      <c r="V86" s="173">
        <v>63</v>
      </c>
      <c r="W86" s="168" t="s">
        <v>251</v>
      </c>
      <c r="X86" s="166">
        <v>150</v>
      </c>
      <c r="Y86" s="166">
        <f t="shared" si="0"/>
        <v>0</v>
      </c>
      <c r="Z86" s="166" t="str">
        <f t="shared" si="1"/>
        <v>0</v>
      </c>
      <c r="AA86" s="166">
        <v>150</v>
      </c>
      <c r="AB86" s="166">
        <v>0</v>
      </c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</row>
    <row r="87" spans="2:97" x14ac:dyDescent="0.2">
      <c r="B87" s="6"/>
      <c r="C87" s="6"/>
      <c r="D87" s="6"/>
      <c r="E87" s="3"/>
      <c r="F87" s="3"/>
      <c r="G87" s="3"/>
      <c r="H87" s="3"/>
      <c r="I87" s="3"/>
      <c r="J87" s="3"/>
      <c r="K87" s="6"/>
      <c r="L87" s="6"/>
      <c r="M87" s="6"/>
      <c r="N87" s="6"/>
      <c r="O87" s="13"/>
      <c r="P87" s="13"/>
      <c r="Q87" s="6"/>
      <c r="R87" s="6"/>
      <c r="S87" s="6"/>
      <c r="T87" s="6"/>
      <c r="U87" s="6"/>
      <c r="V87" s="173">
        <v>64</v>
      </c>
      <c r="W87" s="168" t="s">
        <v>16</v>
      </c>
      <c r="X87" s="166">
        <v>150</v>
      </c>
      <c r="Y87" s="166">
        <f t="shared" si="0"/>
        <v>300</v>
      </c>
      <c r="Z87" s="166" t="str">
        <f t="shared" si="1"/>
        <v>21,78</v>
      </c>
      <c r="AA87" s="166">
        <v>200</v>
      </c>
      <c r="AB87" s="166">
        <v>140</v>
      </c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</row>
    <row r="88" spans="2:97" x14ac:dyDescent="0.2">
      <c r="B88" s="6"/>
      <c r="C88" s="6"/>
      <c r="D88" s="6"/>
      <c r="E88" s="3"/>
      <c r="F88" s="3"/>
      <c r="G88" s="3"/>
      <c r="H88" s="3"/>
      <c r="I88" s="3"/>
      <c r="J88" s="3"/>
      <c r="K88" s="6"/>
      <c r="L88" s="6"/>
      <c r="M88" s="6"/>
      <c r="N88" s="6"/>
      <c r="O88" s="13"/>
      <c r="P88" s="13"/>
      <c r="Q88" s="6"/>
      <c r="R88" s="6"/>
      <c r="S88" s="6"/>
      <c r="T88" s="6"/>
      <c r="U88" s="6"/>
      <c r="V88" s="173">
        <v>65</v>
      </c>
      <c r="W88" s="168" t="s">
        <v>255</v>
      </c>
      <c r="X88" s="166">
        <v>150</v>
      </c>
      <c r="Y88" s="166">
        <f t="shared" si="0"/>
        <v>300</v>
      </c>
      <c r="Z88" s="166" t="str">
        <f t="shared" si="1"/>
        <v>32,78</v>
      </c>
      <c r="AA88" s="166">
        <v>250</v>
      </c>
      <c r="AB88" s="166">
        <v>180</v>
      </c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</row>
    <row r="89" spans="2:97" x14ac:dyDescent="0.2">
      <c r="B89" s="6"/>
      <c r="C89" s="6"/>
      <c r="D89" s="6"/>
      <c r="E89" s="3"/>
      <c r="F89" s="3"/>
      <c r="G89" s="3"/>
      <c r="H89" s="3"/>
      <c r="I89" s="3"/>
      <c r="J89" s="3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173">
        <v>66</v>
      </c>
      <c r="W89" s="168" t="s">
        <v>21</v>
      </c>
      <c r="X89" s="166">
        <v>150</v>
      </c>
      <c r="Y89" s="166">
        <f t="shared" ref="Y89:Y93" si="22">IF(NOT(AA89=X89),(X89*2),0)</f>
        <v>300</v>
      </c>
      <c r="Z89" s="166" t="str">
        <f t="shared" ref="Z89:Z93" si="23">CONCATENATE((ROUND(DEGREES(ATAN((AA89-X89)/2/(AB89-10))),2)*2))</f>
        <v>59,96</v>
      </c>
      <c r="AA89" s="166">
        <v>300</v>
      </c>
      <c r="AB89" s="166">
        <v>140</v>
      </c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</row>
    <row r="90" spans="2:97" x14ac:dyDescent="0.2">
      <c r="B90" s="6"/>
      <c r="C90" s="6"/>
      <c r="D90" s="6"/>
      <c r="E90" s="3"/>
      <c r="F90" s="3"/>
      <c r="G90" s="3"/>
      <c r="H90" s="3"/>
      <c r="I90" s="3"/>
      <c r="J90" s="3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173">
        <v>67</v>
      </c>
      <c r="W90" s="168" t="s">
        <v>252</v>
      </c>
      <c r="X90" s="166">
        <v>150</v>
      </c>
      <c r="Y90" s="166">
        <f t="shared" si="22"/>
        <v>300</v>
      </c>
      <c r="Z90" s="166" t="str">
        <f t="shared" si="23"/>
        <v>50,92</v>
      </c>
      <c r="AA90" s="166">
        <v>350</v>
      </c>
      <c r="AB90" s="166">
        <v>220</v>
      </c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</row>
    <row r="91" spans="2:97" x14ac:dyDescent="0.2">
      <c r="B91" s="6"/>
      <c r="C91" s="6"/>
      <c r="D91" s="6"/>
      <c r="E91" s="3"/>
      <c r="F91" s="3"/>
      <c r="G91" s="3"/>
      <c r="H91" s="3"/>
      <c r="I91" s="3"/>
      <c r="J91" s="3"/>
      <c r="K91" s="6"/>
      <c r="L91" s="6"/>
      <c r="M91" s="6"/>
      <c r="N91" s="6"/>
      <c r="O91" s="13"/>
      <c r="P91" s="13"/>
      <c r="Q91" s="6"/>
      <c r="R91" s="6"/>
      <c r="S91" s="6"/>
      <c r="T91" s="6"/>
      <c r="U91" s="6"/>
      <c r="V91" s="173">
        <v>68</v>
      </c>
      <c r="W91" s="168" t="s">
        <v>253</v>
      </c>
      <c r="X91" s="166">
        <v>150</v>
      </c>
      <c r="Y91" s="166">
        <f t="shared" si="22"/>
        <v>300</v>
      </c>
      <c r="Z91" s="166" t="str">
        <f t="shared" si="23"/>
        <v>61,52</v>
      </c>
      <c r="AA91" s="166">
        <v>400</v>
      </c>
      <c r="AB91" s="166">
        <v>220</v>
      </c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</row>
    <row r="92" spans="2:97" x14ac:dyDescent="0.2">
      <c r="B92" s="6"/>
      <c r="C92" s="6"/>
      <c r="D92" s="6"/>
      <c r="E92" s="3"/>
      <c r="F92" s="3"/>
      <c r="G92" s="3"/>
      <c r="H92" s="3"/>
      <c r="I92" s="3"/>
      <c r="J92" s="3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173">
        <v>69</v>
      </c>
      <c r="W92" s="168" t="s">
        <v>254</v>
      </c>
      <c r="X92" s="166">
        <v>150</v>
      </c>
      <c r="Y92" s="166">
        <f t="shared" si="22"/>
        <v>300</v>
      </c>
      <c r="Z92" s="166" t="str">
        <f t="shared" si="23"/>
        <v>37,88</v>
      </c>
      <c r="AA92" s="166">
        <v>500</v>
      </c>
      <c r="AB92" s="166">
        <v>520</v>
      </c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</row>
    <row r="93" spans="2:97" x14ac:dyDescent="0.2">
      <c r="B93" s="6"/>
      <c r="C93" s="6"/>
      <c r="D93" s="6"/>
      <c r="E93" s="3"/>
      <c r="F93" s="3"/>
      <c r="G93" s="3"/>
      <c r="H93" s="3"/>
      <c r="I93" s="3"/>
      <c r="J93" s="3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173">
        <v>70</v>
      </c>
      <c r="W93" s="168" t="s">
        <v>261</v>
      </c>
      <c r="X93" s="166">
        <v>200</v>
      </c>
      <c r="Y93" s="166">
        <f t="shared" si="22"/>
        <v>0</v>
      </c>
      <c r="Z93" s="166" t="str">
        <f t="shared" si="23"/>
        <v>0</v>
      </c>
      <c r="AA93" s="166">
        <v>200</v>
      </c>
      <c r="AB93" s="166">
        <v>0</v>
      </c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</row>
    <row r="94" spans="2:97" x14ac:dyDescent="0.2">
      <c r="B94" s="6"/>
      <c r="C94" s="6"/>
      <c r="D94" s="6"/>
      <c r="E94" s="3"/>
      <c r="F94" s="3"/>
      <c r="G94" s="3"/>
      <c r="H94" s="3"/>
      <c r="I94" s="3"/>
      <c r="J94" s="3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173">
        <v>71</v>
      </c>
      <c r="W94" s="168" t="s">
        <v>256</v>
      </c>
      <c r="X94" s="166">
        <v>200</v>
      </c>
      <c r="Y94" s="166">
        <f t="shared" ref="Y94:Y98" si="24">IF(NOT(AA94=X94),(X94*2),0)</f>
        <v>400</v>
      </c>
      <c r="Z94" s="166" t="str">
        <f t="shared" ref="Z94:Z98" si="25">CONCATENATE((ROUND(DEGREES(ATAN((AA94-X94)/2/(AB94-10))),2)*2))</f>
        <v>16,74</v>
      </c>
      <c r="AA94" s="166">
        <v>250</v>
      </c>
      <c r="AB94" s="166">
        <v>180</v>
      </c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</row>
    <row r="95" spans="2:97" x14ac:dyDescent="0.2">
      <c r="B95" s="6"/>
      <c r="C95" s="6"/>
      <c r="D95" s="6"/>
      <c r="E95" s="3"/>
      <c r="F95" s="3"/>
      <c r="G95" s="3"/>
      <c r="H95" s="3"/>
      <c r="I95" s="3"/>
      <c r="J95" s="3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173">
        <v>72</v>
      </c>
      <c r="W95" s="168" t="s">
        <v>257</v>
      </c>
      <c r="X95" s="166">
        <v>200</v>
      </c>
      <c r="Y95" s="166">
        <f t="shared" si="24"/>
        <v>400</v>
      </c>
      <c r="Z95" s="166" t="str">
        <f t="shared" si="25"/>
        <v>32,78</v>
      </c>
      <c r="AA95" s="166">
        <v>300</v>
      </c>
      <c r="AB95" s="166">
        <v>180</v>
      </c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</row>
    <row r="96" spans="2:97" x14ac:dyDescent="0.2">
      <c r="B96" s="6"/>
      <c r="C96" s="6"/>
      <c r="D96" s="6"/>
      <c r="E96" s="3"/>
      <c r="F96" s="3"/>
      <c r="G96" s="3"/>
      <c r="H96" s="3"/>
      <c r="I96" s="3"/>
      <c r="J96" s="3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173">
        <v>73</v>
      </c>
      <c r="W96" s="168" t="s">
        <v>258</v>
      </c>
      <c r="X96" s="166">
        <v>200</v>
      </c>
      <c r="Y96" s="166">
        <f t="shared" si="24"/>
        <v>400</v>
      </c>
      <c r="Z96" s="166" t="str">
        <f t="shared" si="25"/>
        <v>39,3</v>
      </c>
      <c r="AA96" s="166">
        <v>350</v>
      </c>
      <c r="AB96" s="166">
        <v>220</v>
      </c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</row>
    <row r="97" spans="2:97" x14ac:dyDescent="0.2">
      <c r="B97" s="6"/>
      <c r="C97" s="6"/>
      <c r="D97" s="6"/>
      <c r="E97" s="3"/>
      <c r="F97" s="3"/>
      <c r="G97" s="3"/>
      <c r="H97" s="3"/>
      <c r="I97" s="3"/>
      <c r="J97" s="3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173">
        <v>74</v>
      </c>
      <c r="W97" s="168" t="s">
        <v>259</v>
      </c>
      <c r="X97" s="166">
        <v>200</v>
      </c>
      <c r="Y97" s="166">
        <f t="shared" si="24"/>
        <v>400</v>
      </c>
      <c r="Z97" s="166" t="str">
        <f t="shared" si="25"/>
        <v>50,92</v>
      </c>
      <c r="AA97" s="166">
        <v>400</v>
      </c>
      <c r="AB97" s="166">
        <v>220</v>
      </c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</row>
    <row r="98" spans="2:97" x14ac:dyDescent="0.2">
      <c r="B98" s="6"/>
      <c r="C98" s="6"/>
      <c r="D98" s="6"/>
      <c r="E98" s="3"/>
      <c r="F98" s="3"/>
      <c r="G98" s="3"/>
      <c r="H98" s="3"/>
      <c r="I98" s="3"/>
      <c r="J98" s="3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173">
        <v>75</v>
      </c>
      <c r="W98" s="168" t="s">
        <v>260</v>
      </c>
      <c r="X98" s="166">
        <v>200</v>
      </c>
      <c r="Y98" s="166">
        <f t="shared" si="24"/>
        <v>400</v>
      </c>
      <c r="Z98" s="166" t="str">
        <f t="shared" si="25"/>
        <v>32,78</v>
      </c>
      <c r="AA98" s="166">
        <v>500</v>
      </c>
      <c r="AB98" s="166">
        <v>520</v>
      </c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</row>
    <row r="99" spans="2:97" x14ac:dyDescent="0.2">
      <c r="B99" s="6"/>
      <c r="C99" s="6"/>
      <c r="D99" s="6"/>
      <c r="E99" s="3"/>
      <c r="F99" s="3"/>
      <c r="G99" s="3"/>
      <c r="H99" s="3"/>
      <c r="I99" s="3"/>
      <c r="J99" s="3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173">
        <v>76</v>
      </c>
      <c r="W99" s="168" t="s">
        <v>262</v>
      </c>
      <c r="X99" s="166">
        <v>250</v>
      </c>
      <c r="Y99" s="166">
        <f t="shared" ref="Y99:Y103" si="26">IF(NOT(AA99=X99),(X99*2),0)</f>
        <v>0</v>
      </c>
      <c r="Z99" s="166" t="str">
        <f t="shared" ref="Z99:Z103" si="27">CONCATENATE((ROUND(DEGREES(ATAN((AA99-X99)/2/(AB99-10))),2)*2))</f>
        <v>0</v>
      </c>
      <c r="AA99" s="166">
        <v>250</v>
      </c>
      <c r="AB99" s="166">
        <v>0</v>
      </c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</row>
    <row r="100" spans="2:97" x14ac:dyDescent="0.2">
      <c r="E100" s="30"/>
      <c r="F100" s="30"/>
      <c r="G100" s="30"/>
      <c r="H100" s="30"/>
      <c r="I100" s="3"/>
      <c r="J100" s="3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173">
        <v>77</v>
      </c>
      <c r="W100" s="168" t="s">
        <v>263</v>
      </c>
      <c r="X100" s="166">
        <v>250</v>
      </c>
      <c r="Y100" s="166">
        <f t="shared" si="26"/>
        <v>500</v>
      </c>
      <c r="Z100" s="166" t="str">
        <f t="shared" si="27"/>
        <v>16,74</v>
      </c>
      <c r="AA100" s="166">
        <v>300</v>
      </c>
      <c r="AB100" s="166">
        <v>180</v>
      </c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</row>
    <row r="101" spans="2:97" x14ac:dyDescent="0.2">
      <c r="E101" s="30"/>
      <c r="F101" s="30"/>
      <c r="G101" s="30"/>
      <c r="H101" s="30"/>
      <c r="I101" s="3"/>
      <c r="J101" s="3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173">
        <v>78</v>
      </c>
      <c r="W101" s="168" t="s">
        <v>264</v>
      </c>
      <c r="X101" s="166">
        <v>250</v>
      </c>
      <c r="Y101" s="166">
        <f t="shared" si="26"/>
        <v>500</v>
      </c>
      <c r="Z101" s="166" t="str">
        <f t="shared" si="27"/>
        <v>26,78</v>
      </c>
      <c r="AA101" s="166">
        <v>350</v>
      </c>
      <c r="AB101" s="166">
        <v>220</v>
      </c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</row>
    <row r="102" spans="2:97" x14ac:dyDescent="0.2">
      <c r="E102" s="30"/>
      <c r="F102" s="30"/>
      <c r="G102" s="30"/>
      <c r="H102" s="30"/>
      <c r="I102" s="3"/>
      <c r="J102" s="3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173">
        <v>79</v>
      </c>
      <c r="W102" s="168" t="s">
        <v>265</v>
      </c>
      <c r="X102" s="166">
        <v>250</v>
      </c>
      <c r="Y102" s="166">
        <f t="shared" si="26"/>
        <v>500</v>
      </c>
      <c r="Z102" s="166" t="str">
        <f t="shared" si="27"/>
        <v>39,3</v>
      </c>
      <c r="AA102" s="166">
        <v>400</v>
      </c>
      <c r="AB102" s="166">
        <v>220</v>
      </c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</row>
    <row r="103" spans="2:97" x14ac:dyDescent="0.2">
      <c r="E103" s="30"/>
      <c r="F103" s="30"/>
      <c r="G103" s="30"/>
      <c r="H103" s="30"/>
      <c r="I103" s="3"/>
      <c r="J103" s="3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173">
        <v>80</v>
      </c>
      <c r="W103" s="168" t="s">
        <v>266</v>
      </c>
      <c r="X103" s="166">
        <v>250</v>
      </c>
      <c r="Y103" s="166">
        <f t="shared" si="26"/>
        <v>500</v>
      </c>
      <c r="Z103" s="166" t="str">
        <f t="shared" si="27"/>
        <v>23,34</v>
      </c>
      <c r="AA103" s="166">
        <v>500</v>
      </c>
      <c r="AB103" s="166">
        <v>615</v>
      </c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</row>
    <row r="104" spans="2:97" x14ac:dyDescent="0.2">
      <c r="E104" s="30"/>
      <c r="F104" s="30"/>
      <c r="G104" s="30"/>
      <c r="H104" s="30"/>
      <c r="I104" s="3"/>
      <c r="J104" s="3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173">
        <v>81</v>
      </c>
      <c r="W104" s="168" t="s">
        <v>267</v>
      </c>
      <c r="X104" s="166">
        <v>300</v>
      </c>
      <c r="Y104" s="166">
        <f t="shared" ref="Y104:Y108" si="28">IF(NOT(AA104=X104),(X104*2),0)</f>
        <v>0</v>
      </c>
      <c r="Z104" s="166" t="str">
        <f t="shared" ref="Z104:Z108" si="29">CONCATENATE((ROUND(DEGREES(ATAN((AA104-X104)/2/(AB104-10))),2)*2))</f>
        <v>0</v>
      </c>
      <c r="AA104" s="166">
        <v>300</v>
      </c>
      <c r="AB104" s="166">
        <v>0</v>
      </c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</row>
    <row r="105" spans="2:97" x14ac:dyDescent="0.2">
      <c r="E105" s="30"/>
      <c r="F105" s="30"/>
      <c r="G105" s="30"/>
      <c r="H105" s="30"/>
      <c r="I105" s="3"/>
      <c r="J105" s="3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173">
        <v>82</v>
      </c>
      <c r="W105" s="168" t="s">
        <v>268</v>
      </c>
      <c r="X105" s="166">
        <v>300</v>
      </c>
      <c r="Y105" s="166">
        <f t="shared" si="28"/>
        <v>600</v>
      </c>
      <c r="Z105" s="166" t="str">
        <f t="shared" si="29"/>
        <v>13,58</v>
      </c>
      <c r="AA105" s="166">
        <v>350</v>
      </c>
      <c r="AB105" s="166">
        <v>220</v>
      </c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</row>
    <row r="106" spans="2:97" x14ac:dyDescent="0.2">
      <c r="E106" s="30"/>
      <c r="F106" s="30"/>
      <c r="G106" s="30"/>
      <c r="H106" s="30"/>
      <c r="I106" s="3"/>
      <c r="J106" s="3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173">
        <v>83</v>
      </c>
      <c r="W106" s="168" t="s">
        <v>269</v>
      </c>
      <c r="X106" s="166">
        <v>300</v>
      </c>
      <c r="Y106" s="166">
        <f t="shared" si="28"/>
        <v>600</v>
      </c>
      <c r="Z106" s="166" t="str">
        <f t="shared" si="29"/>
        <v>26,78</v>
      </c>
      <c r="AA106" s="166">
        <v>400</v>
      </c>
      <c r="AB106" s="166">
        <v>220</v>
      </c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</row>
    <row r="107" spans="2:97" x14ac:dyDescent="0.2">
      <c r="E107" s="30"/>
      <c r="F107" s="30"/>
      <c r="G107" s="30"/>
      <c r="H107" s="30"/>
      <c r="I107" s="3"/>
      <c r="J107" s="3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173">
        <v>84</v>
      </c>
      <c r="W107" s="168" t="s">
        <v>270</v>
      </c>
      <c r="X107" s="166">
        <v>300</v>
      </c>
      <c r="Y107" s="166">
        <f t="shared" si="28"/>
        <v>600</v>
      </c>
      <c r="Z107" s="166" t="str">
        <f t="shared" si="29"/>
        <v>23,06</v>
      </c>
      <c r="AA107" s="166">
        <v>500</v>
      </c>
      <c r="AB107" s="166">
        <v>500</v>
      </c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</row>
    <row r="108" spans="2:97" x14ac:dyDescent="0.2">
      <c r="E108" s="30"/>
      <c r="F108" s="30"/>
      <c r="G108" s="30"/>
      <c r="H108" s="30"/>
      <c r="I108" s="3"/>
      <c r="J108" s="3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184">
        <v>85</v>
      </c>
      <c r="W108" s="177" t="s">
        <v>271</v>
      </c>
      <c r="X108" s="178">
        <v>300</v>
      </c>
      <c r="Y108" s="178">
        <f t="shared" si="28"/>
        <v>600</v>
      </c>
      <c r="Z108" s="178" t="str">
        <f t="shared" si="29"/>
        <v>23,86</v>
      </c>
      <c r="AA108" s="178">
        <v>600</v>
      </c>
      <c r="AB108" s="178">
        <v>720</v>
      </c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</row>
    <row r="109" spans="2:97" x14ac:dyDescent="0.2">
      <c r="E109" s="30"/>
      <c r="F109" s="30"/>
      <c r="G109" s="30"/>
      <c r="H109" s="30"/>
      <c r="I109" s="3"/>
      <c r="J109" s="3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181"/>
      <c r="W109" s="179"/>
      <c r="X109" s="180"/>
      <c r="Y109" s="180"/>
      <c r="Z109" s="180"/>
      <c r="AA109" s="180"/>
      <c r="AB109" s="180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</row>
    <row r="110" spans="2:97" x14ac:dyDescent="0.2">
      <c r="E110" s="30"/>
      <c r="F110" s="30"/>
      <c r="G110" s="30"/>
      <c r="H110" s="30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181"/>
      <c r="W110" s="182"/>
      <c r="X110" s="183"/>
      <c r="Y110" s="183"/>
      <c r="Z110" s="183"/>
      <c r="AA110" s="183"/>
      <c r="AB110" s="183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</row>
    <row r="111" spans="2:97" x14ac:dyDescent="0.2">
      <c r="E111" s="30"/>
      <c r="F111" s="30"/>
      <c r="G111" s="30"/>
      <c r="H111" s="30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181"/>
      <c r="W111" s="182"/>
      <c r="X111" s="183"/>
      <c r="Y111" s="183"/>
      <c r="Z111" s="183"/>
      <c r="AA111" s="183"/>
      <c r="AB111" s="183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</row>
    <row r="112" spans="2:97" x14ac:dyDescent="0.2">
      <c r="E112" s="30"/>
      <c r="F112" s="30"/>
      <c r="G112" s="30"/>
      <c r="H112" s="30"/>
      <c r="O112" s="6"/>
      <c r="P112" s="6"/>
      <c r="AC112" s="6"/>
    </row>
    <row r="113" spans="5:29" x14ac:dyDescent="0.2">
      <c r="E113" s="30"/>
      <c r="F113" s="30"/>
      <c r="G113" s="30"/>
      <c r="H113" s="30"/>
      <c r="O113" s="6"/>
      <c r="P113" s="6"/>
      <c r="AC113" s="6"/>
    </row>
    <row r="114" spans="5:29" x14ac:dyDescent="0.2">
      <c r="O114" s="6"/>
      <c r="P114" s="6"/>
    </row>
    <row r="115" spans="5:29" x14ac:dyDescent="0.2">
      <c r="O115" s="6"/>
      <c r="P115" s="6"/>
    </row>
    <row r="116" spans="5:29" x14ac:dyDescent="0.2">
      <c r="O116" s="6"/>
      <c r="P116" s="6"/>
    </row>
    <row r="117" spans="5:29" x14ac:dyDescent="0.2">
      <c r="O117" s="6"/>
      <c r="P117" s="6"/>
    </row>
    <row r="118" spans="5:29" x14ac:dyDescent="0.2">
      <c r="O118" s="6"/>
      <c r="P118" s="6"/>
    </row>
    <row r="119" spans="5:29" x14ac:dyDescent="0.2">
      <c r="O119" s="6"/>
      <c r="P119" s="6"/>
    </row>
    <row r="120" spans="5:29" x14ac:dyDescent="0.2">
      <c r="O120" s="6"/>
      <c r="P120" s="6"/>
    </row>
  </sheetData>
  <sheetProtection algorithmName="SHA-512" hashValue="KS/+n4unGi5eLPxhW9AbDcNOjc56ZF0VLZjeRMIIsWhxZUM5yaIs1NRK6w0nvZryLOltpWfVCMnwSp/x48W1ng==" saltValue="s+5QbMydo0bxvtVWwrYqVg==" spinCount="100000" sheet="1" objects="1" scenarios="1"/>
  <mergeCells count="11">
    <mergeCell ref="W21:AB21"/>
    <mergeCell ref="B41:H41"/>
    <mergeCell ref="B35:H35"/>
    <mergeCell ref="B23:H23"/>
    <mergeCell ref="R22:T22"/>
    <mergeCell ref="B2:H2"/>
    <mergeCell ref="B65:H65"/>
    <mergeCell ref="R20:T20"/>
    <mergeCell ref="B25:H25"/>
    <mergeCell ref="B29:H29"/>
    <mergeCell ref="B49:H49"/>
  </mergeCells>
  <phoneticPr fontId="11" type="noConversion"/>
  <conditionalFormatting sqref="E34">
    <cfRule type="expression" dxfId="15" priority="16">
      <formula>$L$36=FALSE</formula>
    </cfRule>
  </conditionalFormatting>
  <conditionalFormatting sqref="E31">
    <cfRule type="expression" dxfId="14" priority="15">
      <formula>$L$37=FALSE</formula>
    </cfRule>
  </conditionalFormatting>
  <conditionalFormatting sqref="E32">
    <cfRule type="expression" dxfId="13" priority="14">
      <formula>$L$38=FALSE</formula>
    </cfRule>
  </conditionalFormatting>
  <conditionalFormatting sqref="F32">
    <cfRule type="expression" dxfId="12" priority="12">
      <formula>$M$38=FALSE</formula>
    </cfRule>
  </conditionalFormatting>
  <conditionalFormatting sqref="F34">
    <cfRule type="expression" dxfId="11" priority="11">
      <formula>$M$36=FALSE</formula>
    </cfRule>
  </conditionalFormatting>
  <conditionalFormatting sqref="F31">
    <cfRule type="expression" dxfId="10" priority="13">
      <formula>$M$37=FALSE</formula>
    </cfRule>
  </conditionalFormatting>
  <conditionalFormatting sqref="G34">
    <cfRule type="expression" dxfId="9" priority="10">
      <formula>$N$36=FALSE</formula>
    </cfRule>
  </conditionalFormatting>
  <conditionalFormatting sqref="G31">
    <cfRule type="expression" dxfId="8" priority="9">
      <formula>$N$37=FALSE</formula>
    </cfRule>
  </conditionalFormatting>
  <conditionalFormatting sqref="G32">
    <cfRule type="expression" dxfId="7" priority="8">
      <formula>$N$38=FALSE</formula>
    </cfRule>
  </conditionalFormatting>
  <conditionalFormatting sqref="H34">
    <cfRule type="expression" dxfId="6" priority="7">
      <formula>$O$36=FALSE</formula>
    </cfRule>
  </conditionalFormatting>
  <conditionalFormatting sqref="H31">
    <cfRule type="expression" dxfId="5" priority="6">
      <formula>$O$37=FALSE</formula>
    </cfRule>
  </conditionalFormatting>
  <conditionalFormatting sqref="H32">
    <cfRule type="expression" dxfId="4" priority="5">
      <formula>$O$38=FALSE</formula>
    </cfRule>
  </conditionalFormatting>
  <conditionalFormatting sqref="E60:E61">
    <cfRule type="expression" dxfId="3" priority="4">
      <formula>$L$36=FALSE</formula>
    </cfRule>
  </conditionalFormatting>
  <conditionalFormatting sqref="F60:F61">
    <cfRule type="expression" dxfId="2" priority="3">
      <formula>$M$36=FALSE</formula>
    </cfRule>
  </conditionalFormatting>
  <conditionalFormatting sqref="G60:G61">
    <cfRule type="expression" dxfId="1" priority="2">
      <formula>$N$36=FALSE</formula>
    </cfRule>
  </conditionalFormatting>
  <conditionalFormatting sqref="H60:H61">
    <cfRule type="expression" dxfId="0" priority="1">
      <formula>$O$36=FALSE</formula>
    </cfRule>
  </conditionalFormatting>
  <dataValidations count="4">
    <dataValidation type="list" allowBlank="1" showInputMessage="1" showErrorMessage="1" sqref="E31:H31" xr:uid="{00000000-0002-0000-0100-000000000000}">
      <formula1>OFFSET(BegParamKM,MATCH(E36,Dy0KM,0)-1,0,COUNTIF(Dy0KM,E36),1)</formula1>
    </dataValidation>
    <dataValidation type="list" allowBlank="1" showInputMessage="1" showErrorMessage="1" sqref="E32:H32" xr:uid="{00000000-0002-0000-0100-000002000000}">
      <formula1>OFFSET(BegParamKM,MATCH(E36,Dy0KM,0)-1,0,COUNTIF(Dy0KM,E36),1)</formula1>
    </dataValidation>
    <dataValidation type="list" errorStyle="warning" allowBlank="1" showInputMessage="1" showErrorMessage="1" error="111" sqref="E30:H30" xr:uid="{00000000-0002-0000-0100-000008000000}">
      <formula1>TypePRAM</formula1>
    </dataValidation>
    <dataValidation type="list" allowBlank="1" showInputMessage="1" sqref="E34:H34" xr:uid="{6C318A36-812F-4E6A-805F-795512FE45D3}">
      <formula1>L34</formula1>
    </dataValidation>
  </dataValidations>
  <pageMargins left="0.6" right="0.27" top="0.49" bottom="0.52" header="0.35" footer="0.5"/>
  <pageSetup paperSize="9" scale="63" orientation="portrait" r:id="rId1"/>
  <headerFooter alignWithMargins="0"/>
  <colBreaks count="1" manualBreakCount="1">
    <brk id="13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5"/>
  <sheetViews>
    <sheetView showGridLines="0" showRowColHeaders="0" zoomScaleNormal="100" workbookViewId="0">
      <selection activeCell="B1" sqref="B1"/>
    </sheetView>
  </sheetViews>
  <sheetFormatPr defaultRowHeight="12.75" x14ac:dyDescent="0.2"/>
  <cols>
    <col min="1" max="1" width="2.140625" customWidth="1"/>
    <col min="2" max="2" width="93.28515625" customWidth="1"/>
    <col min="6" max="6" width="10" customWidth="1"/>
    <col min="7" max="7" width="10.42578125" customWidth="1"/>
  </cols>
  <sheetData>
    <row r="1" spans="1:9" ht="15.75" x14ac:dyDescent="0.25">
      <c r="B1" s="153" t="s">
        <v>89</v>
      </c>
    </row>
    <row r="2" spans="1:9" s="58" customFormat="1" ht="25.5" x14ac:dyDescent="0.2">
      <c r="A2" s="61"/>
      <c r="B2" s="154" t="s">
        <v>117</v>
      </c>
      <c r="D2" s="59"/>
      <c r="E2" s="59"/>
      <c r="F2" s="60"/>
      <c r="G2" s="59"/>
      <c r="H2" s="59"/>
      <c r="I2" s="59"/>
    </row>
    <row r="3" spans="1:9" s="45" customFormat="1" x14ac:dyDescent="0.2">
      <c r="B3" s="155" t="s">
        <v>90</v>
      </c>
      <c r="D3" s="43"/>
      <c r="E3" s="43"/>
      <c r="F3" s="53"/>
      <c r="G3" s="43"/>
      <c r="H3" s="52"/>
      <c r="I3" s="52"/>
    </row>
    <row r="4" spans="1:9" s="45" customFormat="1" ht="63.75" x14ac:dyDescent="0.2">
      <c r="B4" s="155" t="s">
        <v>166</v>
      </c>
      <c r="D4" s="55"/>
      <c r="E4" s="62"/>
      <c r="F4" s="63"/>
      <c r="G4" s="55"/>
      <c r="H4" s="52"/>
      <c r="I4" s="52"/>
    </row>
    <row r="5" spans="1:9" s="69" customFormat="1" ht="26.25" customHeight="1" x14ac:dyDescent="0.2">
      <c r="A5" s="73"/>
      <c r="B5" s="74" t="s">
        <v>91</v>
      </c>
      <c r="C5"/>
      <c r="D5" s="70"/>
      <c r="E5" s="71"/>
      <c r="F5" s="71"/>
      <c r="G5" s="70"/>
      <c r="H5" s="72"/>
      <c r="I5" s="72"/>
    </row>
    <row r="6" spans="1:9" x14ac:dyDescent="0.2">
      <c r="B6" s="51"/>
      <c r="C6" s="54"/>
      <c r="D6" s="55"/>
      <c r="E6" s="44"/>
      <c r="F6" s="54"/>
      <c r="G6" s="55"/>
      <c r="H6" s="51"/>
      <c r="I6" s="51"/>
    </row>
    <row r="7" spans="1:9" x14ac:dyDescent="0.2">
      <c r="B7" s="51"/>
      <c r="C7" s="54"/>
      <c r="D7" s="55"/>
      <c r="E7" s="44"/>
      <c r="F7" s="54"/>
      <c r="G7" s="55"/>
      <c r="H7" s="51"/>
      <c r="I7" s="51"/>
    </row>
    <row r="8" spans="1:9" x14ac:dyDescent="0.2">
      <c r="B8" s="51"/>
      <c r="C8" s="54"/>
      <c r="D8" s="55"/>
      <c r="E8" s="44"/>
      <c r="F8" s="54"/>
      <c r="G8" s="55"/>
      <c r="H8" s="51"/>
      <c r="I8" s="51"/>
    </row>
    <row r="9" spans="1:9" x14ac:dyDescent="0.2">
      <c r="B9" s="51"/>
      <c r="C9" s="51"/>
      <c r="D9" s="51"/>
      <c r="E9" s="51"/>
      <c r="F9" s="54"/>
      <c r="G9" s="55"/>
      <c r="H9" s="51"/>
      <c r="I9" s="51"/>
    </row>
    <row r="10" spans="1:9" x14ac:dyDescent="0.2">
      <c r="B10" s="51"/>
      <c r="C10" s="51"/>
      <c r="D10" s="51"/>
      <c r="E10" s="51"/>
      <c r="F10" s="54"/>
      <c r="G10" s="55"/>
      <c r="H10" s="51"/>
      <c r="I10" s="51"/>
    </row>
    <row r="11" spans="1:9" x14ac:dyDescent="0.2">
      <c r="B11" s="51"/>
      <c r="C11" s="51"/>
      <c r="D11" s="51"/>
      <c r="E11" s="51"/>
      <c r="F11" s="51"/>
      <c r="G11" s="51"/>
      <c r="H11" s="51"/>
      <c r="I11" s="51"/>
    </row>
    <row r="12" spans="1:9" x14ac:dyDescent="0.2">
      <c r="B12" s="51"/>
      <c r="C12" s="51"/>
      <c r="D12" s="51"/>
      <c r="E12" s="51"/>
      <c r="F12" s="51"/>
      <c r="G12" s="51"/>
      <c r="H12" s="51"/>
      <c r="I12" s="51"/>
    </row>
    <row r="13" spans="1:9" x14ac:dyDescent="0.2">
      <c r="B13" s="51"/>
      <c r="C13" s="51"/>
      <c r="D13" s="51"/>
      <c r="E13" s="51"/>
      <c r="F13" s="51"/>
      <c r="G13" s="51"/>
      <c r="H13" s="51"/>
      <c r="I13" s="51"/>
    </row>
    <row r="14" spans="1:9" x14ac:dyDescent="0.2">
      <c r="B14" s="51"/>
      <c r="C14" s="51"/>
      <c r="D14" s="51"/>
      <c r="E14" s="51"/>
      <c r="F14" s="51"/>
      <c r="G14" s="51"/>
      <c r="H14" s="51"/>
      <c r="I14" s="51"/>
    </row>
    <row r="21" spans="2:3" s="68" customFormat="1" ht="19.5" customHeight="1" x14ac:dyDescent="0.2">
      <c r="B21" s="156" t="s">
        <v>92</v>
      </c>
    </row>
    <row r="22" spans="2:3" x14ac:dyDescent="0.2">
      <c r="B22" s="157" t="s">
        <v>93</v>
      </c>
    </row>
    <row r="23" spans="2:3" s="65" customFormat="1" ht="30" customHeight="1" x14ac:dyDescent="0.2">
      <c r="B23" s="158" t="s">
        <v>94</v>
      </c>
      <c r="C23" s="67"/>
    </row>
    <row r="24" spans="2:3" x14ac:dyDescent="0.2">
      <c r="B24" s="157" t="s">
        <v>167</v>
      </c>
      <c r="C24" s="64"/>
    </row>
    <row r="25" spans="2:3" x14ac:dyDescent="0.2">
      <c r="B25" s="157" t="s">
        <v>95</v>
      </c>
    </row>
    <row r="26" spans="2:3" x14ac:dyDescent="0.2">
      <c r="B26" s="157" t="s">
        <v>96</v>
      </c>
    </row>
    <row r="27" spans="2:3" x14ac:dyDescent="0.2">
      <c r="B27" s="157" t="s">
        <v>97</v>
      </c>
    </row>
    <row r="28" spans="2:3" x14ac:dyDescent="0.2">
      <c r="B28" s="157" t="s">
        <v>98</v>
      </c>
    </row>
    <row r="29" spans="2:3" ht="24" x14ac:dyDescent="0.2">
      <c r="B29" s="159" t="s">
        <v>168</v>
      </c>
    </row>
    <row r="30" spans="2:3" ht="42.75" customHeight="1" x14ac:dyDescent="0.2">
      <c r="B30" s="66" t="s">
        <v>99</v>
      </c>
      <c r="C30" s="57"/>
    </row>
    <row r="31" spans="2:3" x14ac:dyDescent="0.2">
      <c r="B31" s="157" t="s">
        <v>169</v>
      </c>
      <c r="C31" s="64"/>
    </row>
    <row r="32" spans="2:3" s="68" customFormat="1" ht="19.5" customHeight="1" x14ac:dyDescent="0.2">
      <c r="B32" s="156" t="s">
        <v>100</v>
      </c>
    </row>
    <row r="33" spans="2:3" x14ac:dyDescent="0.2">
      <c r="B33" s="155" t="s">
        <v>101</v>
      </c>
    </row>
    <row r="34" spans="2:3" ht="31.5" customHeight="1" x14ac:dyDescent="0.2">
      <c r="B34" s="158" t="s">
        <v>102</v>
      </c>
    </row>
    <row r="35" spans="2:3" x14ac:dyDescent="0.2">
      <c r="B35" s="155" t="s">
        <v>170</v>
      </c>
      <c r="C35" s="64"/>
    </row>
    <row r="36" spans="2:3" ht="38.25" x14ac:dyDescent="0.2">
      <c r="B36" s="154" t="s">
        <v>103</v>
      </c>
    </row>
    <row r="37" spans="2:3" ht="38.25" customHeight="1" x14ac:dyDescent="0.2">
      <c r="B37" s="66" t="s">
        <v>104</v>
      </c>
    </row>
    <row r="38" spans="2:3" ht="15.75" x14ac:dyDescent="0.3">
      <c r="B38" s="155" t="s">
        <v>171</v>
      </c>
      <c r="C38" s="56"/>
    </row>
    <row r="39" spans="2:3" x14ac:dyDescent="0.2">
      <c r="B39" s="160" t="s">
        <v>172</v>
      </c>
      <c r="C39" s="64"/>
    </row>
    <row r="40" spans="2:3" s="68" customFormat="1" ht="19.5" customHeight="1" x14ac:dyDescent="0.2">
      <c r="B40" s="156" t="s">
        <v>105</v>
      </c>
    </row>
    <row r="41" spans="2:3" x14ac:dyDescent="0.2">
      <c r="B41" s="157" t="s">
        <v>106</v>
      </c>
    </row>
    <row r="42" spans="2:3" ht="31.5" customHeight="1" x14ac:dyDescent="0.2">
      <c r="B42" s="158" t="s">
        <v>107</v>
      </c>
    </row>
    <row r="43" spans="2:3" x14ac:dyDescent="0.2">
      <c r="B43" s="157" t="s">
        <v>173</v>
      </c>
      <c r="C43" s="64"/>
    </row>
    <row r="44" spans="2:3" x14ac:dyDescent="0.2">
      <c r="B44" s="157" t="s">
        <v>108</v>
      </c>
    </row>
    <row r="45" spans="2:3" ht="19.5" customHeight="1" x14ac:dyDescent="0.2">
      <c r="B45" s="158" t="s">
        <v>109</v>
      </c>
    </row>
    <row r="46" spans="2:3" x14ac:dyDescent="0.2">
      <c r="B46" s="157" t="s">
        <v>174</v>
      </c>
      <c r="C46" s="56"/>
    </row>
    <row r="47" spans="2:3" x14ac:dyDescent="0.2">
      <c r="B47" s="161" t="s">
        <v>175</v>
      </c>
    </row>
    <row r="48" spans="2:3" x14ac:dyDescent="0.2">
      <c r="B48" s="157" t="s">
        <v>110</v>
      </c>
    </row>
    <row r="49" spans="2:3" ht="38.25" customHeight="1" x14ac:dyDescent="0.2">
      <c r="B49" s="158" t="s">
        <v>111</v>
      </c>
    </row>
    <row r="50" spans="2:3" x14ac:dyDescent="0.2">
      <c r="B50" s="157" t="s">
        <v>113</v>
      </c>
      <c r="C50" s="56"/>
    </row>
    <row r="51" spans="2:3" x14ac:dyDescent="0.2">
      <c r="B51" s="161" t="s">
        <v>176</v>
      </c>
    </row>
    <row r="52" spans="2:3" x14ac:dyDescent="0.2">
      <c r="B52" s="157" t="s">
        <v>112</v>
      </c>
    </row>
    <row r="53" spans="2:3" ht="36" customHeight="1" x14ac:dyDescent="0.2">
      <c r="B53" s="158" t="s">
        <v>114</v>
      </c>
    </row>
    <row r="54" spans="2:3" s="65" customFormat="1" ht="17.25" customHeight="1" x14ac:dyDescent="0.2">
      <c r="B54" s="162" t="s">
        <v>115</v>
      </c>
      <c r="C54" s="75"/>
    </row>
    <row r="55" spans="2:3" x14ac:dyDescent="0.2">
      <c r="B55" s="157" t="s">
        <v>116</v>
      </c>
    </row>
  </sheetData>
  <sheetProtection algorithmName="SHA-512" hashValue="KKLZSNxCWoPxgg+oFvWuUkWkIgeF7BEfqJ4ToFj2SxWlyGi49j2f0CjsdmxJCZdq2VbboLPHFpVQyQ7PgxjkJQ==" saltValue="a5r6Y/17+9whNinJ54TDYw==" spinCount="100000" sheet="1" objects="1" scenarios="1"/>
  <phoneticPr fontId="11" type="noConversion"/>
  <pageMargins left="0.55000000000000004" right="0.33" top="0.49" bottom="0.52" header="0.5" footer="0.5"/>
  <pageSetup paperSize="9" scale="78" orientation="portrait" verticalDpi="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2054" r:id="rId4">
          <objectPr defaultSize="0" autoPict="0" r:id="rId5">
            <anchor moveWithCells="1" sizeWithCells="1">
              <from>
                <xdr:col>1</xdr:col>
                <xdr:colOff>3657600</xdr:colOff>
                <xdr:row>1</xdr:row>
                <xdr:rowOff>314325</xdr:rowOff>
              </from>
              <to>
                <xdr:col>1</xdr:col>
                <xdr:colOff>4305300</xdr:colOff>
                <xdr:row>3</xdr:row>
                <xdr:rowOff>0</xdr:rowOff>
              </to>
            </anchor>
          </objectPr>
        </oleObject>
      </mc:Choice>
      <mc:Fallback>
        <oleObject progId="Equation.3" shapeId="2054" r:id="rId4"/>
      </mc:Fallback>
    </mc:AlternateContent>
    <mc:AlternateContent xmlns:mc="http://schemas.openxmlformats.org/markup-compatibility/2006">
      <mc:Choice Requires="x14">
        <oleObject progId="Equation.3" shapeId="2065" r:id="rId6">
          <objectPr defaultSize="0" autoPict="0" r:id="rId7">
            <anchor moveWithCells="1" sizeWithCells="1">
              <from>
                <xdr:col>1</xdr:col>
                <xdr:colOff>438150</xdr:colOff>
                <xdr:row>29</xdr:row>
                <xdr:rowOff>19050</xdr:rowOff>
              </from>
              <to>
                <xdr:col>1</xdr:col>
                <xdr:colOff>1543050</xdr:colOff>
                <xdr:row>29</xdr:row>
                <xdr:rowOff>533400</xdr:rowOff>
              </to>
            </anchor>
          </objectPr>
        </oleObject>
      </mc:Choice>
      <mc:Fallback>
        <oleObject progId="Equation.3" shapeId="2065" r:id="rId6"/>
      </mc:Fallback>
    </mc:AlternateContent>
    <mc:AlternateContent xmlns:mc="http://schemas.openxmlformats.org/markup-compatibility/2006">
      <mc:Choice Requires="x14">
        <oleObject progId="Equation.3" shapeId="2068" r:id="rId8">
          <objectPr defaultSize="0" autoPict="0" r:id="rId9">
            <anchor moveWithCells="1" sizeWithCells="1">
              <from>
                <xdr:col>1</xdr:col>
                <xdr:colOff>447675</xdr:colOff>
                <xdr:row>33</xdr:row>
                <xdr:rowOff>19050</xdr:rowOff>
              </from>
              <to>
                <xdr:col>1</xdr:col>
                <xdr:colOff>1200150</xdr:colOff>
                <xdr:row>33</xdr:row>
                <xdr:rowOff>381000</xdr:rowOff>
              </to>
            </anchor>
          </objectPr>
        </oleObject>
      </mc:Choice>
      <mc:Fallback>
        <oleObject progId="Equation.3" shapeId="2068" r:id="rId8"/>
      </mc:Fallback>
    </mc:AlternateContent>
    <mc:AlternateContent xmlns:mc="http://schemas.openxmlformats.org/markup-compatibility/2006">
      <mc:Choice Requires="x14">
        <oleObject progId="Equation.3" shapeId="2070" r:id="rId10">
          <objectPr defaultSize="0" autoPict="0" r:id="rId11">
            <anchor moveWithCells="1" sizeWithCells="1">
              <from>
                <xdr:col>1</xdr:col>
                <xdr:colOff>419100</xdr:colOff>
                <xdr:row>36</xdr:row>
                <xdr:rowOff>28575</xdr:rowOff>
              </from>
              <to>
                <xdr:col>1</xdr:col>
                <xdr:colOff>1866900</xdr:colOff>
                <xdr:row>36</xdr:row>
                <xdr:rowOff>447675</xdr:rowOff>
              </to>
            </anchor>
          </objectPr>
        </oleObject>
      </mc:Choice>
      <mc:Fallback>
        <oleObject progId="Equation.3" shapeId="2070" r:id="rId10"/>
      </mc:Fallback>
    </mc:AlternateContent>
    <mc:AlternateContent xmlns:mc="http://schemas.openxmlformats.org/markup-compatibility/2006">
      <mc:Choice Requires="x14">
        <oleObject progId="Equation.3" shapeId="2071" r:id="rId12">
          <objectPr defaultSize="0" autoPict="0" r:id="rId13">
            <anchor moveWithCells="1" sizeWithCells="1">
              <from>
                <xdr:col>1</xdr:col>
                <xdr:colOff>314325</xdr:colOff>
                <xdr:row>4</xdr:row>
                <xdr:rowOff>76200</xdr:rowOff>
              </from>
              <to>
                <xdr:col>1</xdr:col>
                <xdr:colOff>1819275</xdr:colOff>
                <xdr:row>4</xdr:row>
                <xdr:rowOff>266700</xdr:rowOff>
              </to>
            </anchor>
          </objectPr>
        </oleObject>
      </mc:Choice>
      <mc:Fallback>
        <oleObject progId="Equation.3" shapeId="2071" r:id="rId12"/>
      </mc:Fallback>
    </mc:AlternateContent>
    <mc:AlternateContent xmlns:mc="http://schemas.openxmlformats.org/markup-compatibility/2006">
      <mc:Choice Requires="x14">
        <oleObject progId="Equation.3" shapeId="2074" r:id="rId14">
          <objectPr defaultSize="0" autoPict="0" r:id="rId15">
            <anchor moveWithCells="1" sizeWithCells="1">
              <from>
                <xdr:col>1</xdr:col>
                <xdr:colOff>428625</xdr:colOff>
                <xdr:row>41</xdr:row>
                <xdr:rowOff>19050</xdr:rowOff>
              </from>
              <to>
                <xdr:col>1</xdr:col>
                <xdr:colOff>1209675</xdr:colOff>
                <xdr:row>41</xdr:row>
                <xdr:rowOff>381000</xdr:rowOff>
              </to>
            </anchor>
          </objectPr>
        </oleObject>
      </mc:Choice>
      <mc:Fallback>
        <oleObject progId="Equation.3" shapeId="2074" r:id="rId14"/>
      </mc:Fallback>
    </mc:AlternateContent>
    <mc:AlternateContent xmlns:mc="http://schemas.openxmlformats.org/markup-compatibility/2006">
      <mc:Choice Requires="x14">
        <oleObject progId="Equation.3" shapeId="2076" r:id="rId16">
          <objectPr defaultSize="0" autoPict="0" r:id="rId17">
            <anchor moveWithCells="1" sizeWithCells="1">
              <from>
                <xdr:col>1</xdr:col>
                <xdr:colOff>400050</xdr:colOff>
                <xdr:row>44</xdr:row>
                <xdr:rowOff>47625</xdr:rowOff>
              </from>
              <to>
                <xdr:col>1</xdr:col>
                <xdr:colOff>1323975</xdr:colOff>
                <xdr:row>44</xdr:row>
                <xdr:rowOff>209550</xdr:rowOff>
              </to>
            </anchor>
          </objectPr>
        </oleObject>
      </mc:Choice>
      <mc:Fallback>
        <oleObject progId="Equation.3" shapeId="2076" r:id="rId16"/>
      </mc:Fallback>
    </mc:AlternateContent>
    <mc:AlternateContent xmlns:mc="http://schemas.openxmlformats.org/markup-compatibility/2006">
      <mc:Choice Requires="x14">
        <oleObject progId="Equation.3" shapeId="2080" r:id="rId18">
          <objectPr defaultSize="0" autoPict="0" r:id="rId19">
            <anchor moveWithCells="1" sizeWithCells="1">
              <from>
                <xdr:col>1</xdr:col>
                <xdr:colOff>361950</xdr:colOff>
                <xdr:row>48</xdr:row>
                <xdr:rowOff>28575</xdr:rowOff>
              </from>
              <to>
                <xdr:col>1</xdr:col>
                <xdr:colOff>1866900</xdr:colOff>
                <xdr:row>48</xdr:row>
                <xdr:rowOff>447675</xdr:rowOff>
              </to>
            </anchor>
          </objectPr>
        </oleObject>
      </mc:Choice>
      <mc:Fallback>
        <oleObject progId="Equation.3" shapeId="2080" r:id="rId18"/>
      </mc:Fallback>
    </mc:AlternateContent>
    <mc:AlternateContent xmlns:mc="http://schemas.openxmlformats.org/markup-compatibility/2006">
      <mc:Choice Requires="x14">
        <oleObject progId="Equation.3" shapeId="2082" r:id="rId20">
          <objectPr defaultSize="0" autoPict="0" r:id="rId21">
            <anchor moveWithCells="1" sizeWithCells="1">
              <from>
                <xdr:col>1</xdr:col>
                <xdr:colOff>371475</xdr:colOff>
                <xdr:row>52</xdr:row>
                <xdr:rowOff>9525</xdr:rowOff>
              </from>
              <to>
                <xdr:col>1</xdr:col>
                <xdr:colOff>1704975</xdr:colOff>
                <xdr:row>53</xdr:row>
                <xdr:rowOff>0</xdr:rowOff>
              </to>
            </anchor>
          </objectPr>
        </oleObject>
      </mc:Choice>
      <mc:Fallback>
        <oleObject progId="Equation.3" shapeId="2082" r:id="rId20"/>
      </mc:Fallback>
    </mc:AlternateContent>
    <mc:AlternateContent xmlns:mc="http://schemas.openxmlformats.org/markup-compatibility/2006">
      <mc:Choice Requires="x14">
        <oleObject progId="Equation.3" shapeId="2085" r:id="rId22">
          <objectPr defaultSize="0" autoPict="0" r:id="rId23">
            <anchor moveWithCells="1" sizeWithCells="1">
              <from>
                <xdr:col>1</xdr:col>
                <xdr:colOff>295275</xdr:colOff>
                <xdr:row>52</xdr:row>
                <xdr:rowOff>447675</xdr:rowOff>
              </from>
              <to>
                <xdr:col>1</xdr:col>
                <xdr:colOff>1647825</xdr:colOff>
                <xdr:row>54</xdr:row>
                <xdr:rowOff>9525</xdr:rowOff>
              </to>
            </anchor>
          </objectPr>
        </oleObject>
      </mc:Choice>
      <mc:Fallback>
        <oleObject progId="Equation.3" shapeId="2085" r:id="rId2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Расчет(4тр)</vt:lpstr>
      <vt:lpstr>Описание</vt:lpstr>
      <vt:lpstr>BegParamKM</vt:lpstr>
      <vt:lpstr>Dy0KM</vt:lpstr>
      <vt:lpstr>DyPRAM</vt:lpstr>
      <vt:lpstr>ParamKM</vt:lpstr>
      <vt:lpstr>ParamKM2</vt:lpstr>
      <vt:lpstr>TypePRAM</vt:lpstr>
    </vt:vector>
  </TitlesOfParts>
  <Company>ТЕПЛОКОМ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Расчет гидравлических потерь ПРЭМ</dc:title>
  <dc:creator>Птухов Александр Викторович</dc:creator>
  <cp:lastModifiedBy>Птухов Александр Викторович</cp:lastModifiedBy>
  <cp:lastPrinted>2007-01-31T06:48:57Z</cp:lastPrinted>
  <dcterms:created xsi:type="dcterms:W3CDTF">2006-10-05T10:00:01Z</dcterms:created>
  <dcterms:modified xsi:type="dcterms:W3CDTF">2024-02-05T07:10:28Z</dcterms:modified>
</cp:coreProperties>
</file>